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eoDs70rhNmn5Pex/fgCdmwhLvCoe/yKCtRx2XDEDH8nTR742wGfNSBrYgGkvVetTTpX6trxt7zMCKV4NZxZUvw==" workbookSaltValue="qZc6+xKjEDJ+896XKSE//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C10" i="14" s="1"/>
  <c r="K10" i="14" s="1"/>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T13" i="16"/>
  <c r="AL20" i="20"/>
  <c r="E20" i="20"/>
  <c r="AC20" i="20"/>
  <c r="H17" i="2" l="1"/>
  <c r="BH11" i="16"/>
  <c r="BF17" i="11"/>
  <c r="BK15" i="11"/>
  <c r="BG9" i="11"/>
  <c r="BV16" i="16"/>
  <c r="Q15" i="17"/>
  <c r="V9" i="11"/>
  <c r="AP17" i="20"/>
  <c r="BU9" i="17"/>
  <c r="BF12" i="11"/>
  <c r="BH17" i="16"/>
  <c r="BH12" i="16"/>
  <c r="BF16" i="13"/>
  <c r="BG15" i="8"/>
  <c r="K15" i="7" s="1"/>
  <c r="B12" i="6"/>
  <c r="BF15" i="11"/>
  <c r="BL10" i="11"/>
  <c r="S15" i="16"/>
  <c r="BU16" i="17"/>
  <c r="BV15" i="16"/>
  <c r="BW9" i="20"/>
  <c r="BH17" i="11"/>
  <c r="R10" i="21"/>
  <c r="R13" i="21" s="1"/>
  <c r="BI10" i="11"/>
  <c r="S17" i="16"/>
  <c r="BM16"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K16" i="12" s="1"/>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BK13" i="11" l="1"/>
  <c r="S18" i="16"/>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AA20" i="20"/>
  <c r="O10" i="11"/>
  <c r="AK20" i="20"/>
  <c r="AW20" i="11"/>
  <c r="AV20" i="21"/>
  <c r="U17" i="11"/>
  <c r="Y20" i="20"/>
  <c r="H20" i="17"/>
  <c r="D19" i="12" l="1"/>
  <c r="BE18" i="13"/>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P20" i="21"/>
  <c r="H20" i="21"/>
  <c r="AG20" i="17"/>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AD20" i="11"/>
  <c r="K20" i="17"/>
  <c r="AS20" i="16"/>
  <c r="AT20" i="21" l="1"/>
  <c r="AQ20" i="17"/>
  <c r="AQ20" i="11"/>
  <c r="BL20" i="16"/>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C20" i="17"/>
  <c r="I19" i="7" l="1"/>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<sst xmlns="http://schemas.openxmlformats.org/spreadsheetml/2006/main" count="2080" uniqueCount="913">
  <si>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</si>
  <si>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</si>
  <si>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</si>
  <si>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</si>
  <si>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</si>
  <si>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</si>
  <si>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</si>
  <si>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</si>
  <si>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</si>
  <si>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</si>
  <si>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</si>
  <si>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</si>
  <si>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</si>
  <si>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</si>
  <si>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</si>
  <si>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</si>
  <si>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</si>
  <si>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</si>
  <si>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</si>
  <si>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</si>
  <si>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</si>
  <si>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</si>
  <si>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</si>
  <si>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</si>
  <si>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</si>
  <si>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</si>
  <si>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</si>
  <si>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</si>
  <si>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</si>
  <si>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</si>
  <si>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</si>
  <si>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</si>
  <si>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</si>
  <si>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</si>
  <si>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</si>
  <si>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</si>
  <si>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</si>
  <si>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</si>
  <si>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</si>
  <si>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</si>
  <si>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</si>
  <si>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</si>
  <si>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</si>
  <si>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</si>
  <si>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</si>
  <si>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</si>
  <si>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</si>
  <si>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</si>
  <si>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</si>
  <si>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</si>
  <si>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</si>
  <si>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</si>
  <si>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</si>
  <si>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</si>
  <si>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</si>
  <si>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</si>
  <si>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</si>
  <si>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</si>
  <si>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</si>
  <si>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</si>
  <si>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</si>
  <si>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</si>
  <si>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</si>
  <si>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</si>
  <si>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</si>
  <si>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</si>
  <si>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</si>
  <si>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</si>
  <si>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</si>
  <si>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</si>
  <si>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</si>
  <si>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</si>
  <si>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</si>
  <si>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</si>
  <si>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</si>
  <si>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</si>
  <si>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</si>
  <si>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</si>
  <si>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</si>
  <si>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</si>
  <si>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</si>
  <si>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</si>
  <si>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</si>
  <si>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</si>
  <si>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</si>
  <si>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</si>
  <si>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</si>
  <si>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</si>
  <si>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</si>
  <si>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</si>
  <si>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</si>
  <si>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</si>
  <si>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</si>
  <si>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</si>
  <si>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</si>
  <si>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</si>
  <si>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</si>
  <si>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</si>
  <si>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</si>
  <si>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</si>
  <si>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</si>
  <si>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</si>
  <si>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</si>
  <si>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</si>
  <si>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</si>
  <si>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</si>
  <si>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</si>
  <si>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</si>
  <si>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</si>
  <si>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</si>
  <si>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</si>
  <si>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</si>
  <si>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</si>
  <si>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</si>
  <si>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</si>
  <si>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</si>
  <si>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</si>
  <si>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</si>
  <si>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</si>
  <si>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</si>
  <si>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</si>
  <si>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</si>
  <si>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</si>
  <si>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</si>
  <si>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</si>
  <si>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</si>
  <si>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</si>
  <si>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</si>
  <si>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</si>
  <si>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</si>
  <si>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</si>
  <si>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</si>
  <si>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</si>
  <si>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</si>
  <si>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</si>
  <si>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</si>
  <si>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</si>
  <si>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</si>
  <si>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</si>
  <si>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</si>
  <si>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</si>
  <si>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</si>
  <si>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</si>
  <si>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</si>
  <si>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</si>
  <si>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</si>
  <si>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</si>
  <si>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</si>
  <si>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</si>
  <si>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</si>
  <si>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</si>
  <si>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</si>
  <si>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</si>
  <si>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</si>
  <si>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</si>
  <si>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</si>
  <si>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</si>
  <si>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</si>
  <si>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</si>
  <si>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</si>
  <si>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</si>
  <si>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</si>
  <si>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</si>
  <si>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</si>
  <si>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</si>
  <si>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</si>
  <si>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</si>
  <si>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</si>
  <si>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</si>
  <si>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</si>
  <si>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</si>
  <si>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</si>
  <si>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</si>
  <si>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</si>
  <si>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</si>
  <si>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</si>
  <si>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</si>
  <si>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</si>
  <si>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</si>
  <si>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</si>
  <si>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</si>
  <si>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</si>
  <si>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</si>
  <si>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</si>
  <si>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</si>
  <si>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</si>
  <si>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</si>
  <si>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</si>
  <si>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</si>
  <si>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</si>
  <si>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</si>
  <si>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</si>
  <si>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</si>
  <si>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</si>
  <si>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</si>
  <si>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</si>
  <si>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</si>
  <si>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</si>
  <si>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</si>
  <si>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</si>
  <si>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</si>
  <si>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</si>
  <si>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</si>
  <si>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</si>
  <si>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</si>
  <si>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</si>
  <si>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</si>
  <si>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</si>
  <si>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</si>
  <si>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</si>
  <si>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</si>
  <si>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</si>
  <si>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</si>
  <si>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</si>
  <si>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</si>
  <si>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</si>
  <si>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</si>
  <si>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</si>
  <si>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</si>
  <si>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</si>
  <si>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</si>
  <si>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</si>
  <si>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</si>
  <si>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</si>
  <si>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</si>
  <si>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</si>
  <si>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</si>
  <si>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</si>
  <si>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</si>
  <si>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</si>
  <si>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</si>
  <si>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</si>
  <si>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</si>
  <si>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</si>
  <si>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</si>
  <si>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</si>
  <si>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</si>
  <si>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</si>
  <si>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</si>
  <si>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</si>
  <si>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</si>
  <si>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</si>
  <si>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</si>
  <si>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</si>
  <si>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</si>
  <si>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</si>
  <si>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</si>
  <si>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</si>
  <si>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</si>
  <si>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</si>
  <si>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</si>
  <si>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</si>
  <si>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</si>
  <si>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</si>
  <si>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</si>
  <si>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</si>
  <si>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</si>
  <si>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</si>
  <si>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</si>
  <si>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</si>
  <si>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</si>
  <si>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</si>
  <si>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</si>
  <si>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</si>
  <si>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</si>
  <si>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</si>
  <si>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</si>
  <si>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</si>
  <si>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</si>
  <si>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</si>
  <si>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</si>
  <si>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</si>
  <si>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</si>
  <si>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</si>
  <si>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</si>
  <si>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</si>
  <si>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</si>
  <si>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</si>
  <si>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</si>
  <si>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</si>
  <si>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</si>
  <si>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</si>
  <si>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</si>
  <si>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</si>
  <si>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</si>
  <si>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</si>
  <si>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</si>
  <si>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</si>
  <si>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</si>
  <si>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</si>
  <si>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</si>
  <si>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</si>
  <si>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</si>
  <si>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</si>
  <si>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</si>
  <si>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</si>
  <si>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</si>
  <si>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</si>
  <si>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</si>
  <si>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</si>
  <si>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</si>
  <si>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</si>
  <si>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</si>
  <si>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</si>
  <si>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</si>
  <si>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</si>
  <si>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</si>
  <si>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</si>
  <si>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</si>
  <si>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</si>
  <si>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</si>
  <si>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</si>
  <si>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</si>
  <si>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</si>
  <si>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</si>
  <si>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</si>
  <si>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</si>
  <si>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</si>
  <si>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</si>
  <si>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</si>
  <si>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</si>
  <si>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</si>
  <si>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</si>
  <si>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</si>
  <si>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</si>
  <si>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</si>
  <si>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</si>
  <si>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</si>
  <si>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</si>
  <si>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</si>
  <si>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</si>
  <si>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</si>
  <si>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</si>
  <si>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</si>
  <si>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</si>
  <si>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</si>
  <si>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</si>
  <si>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</si>
  <si>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</si>
  <si>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</si>
  <si>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</si>
  <si>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</si>
  <si>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</si>
  <si>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</si>
  <si>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</si>
  <si>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</si>
  <si>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</si>
  <si>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</si>
  <si>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</si>
  <si>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</si>
  <si>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</si>
  <si>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</si>
  <si>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</si>
  <si>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</si>
  <si>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</si>
  <si>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</si>
  <si>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</si>
  <si>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</si>
  <si>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</si>
  <si>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</si>
  <si>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</si>
  <si>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</si>
  <si>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</si>
  <si>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</si>
  <si>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</si>
  <si>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</si>
  <si>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</si>
  <si>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</si>
  <si>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</si>
  <si>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</si>
  <si>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</si>
  <si>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</si>
  <si>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</si>
  <si>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</si>
  <si>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</si>
  <si>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</si>
  <si>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</si>
  <si>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</si>
  <si>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</si>
  <si>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</si>
  <si>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</si>
  <si>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</si>
  <si>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</si>
  <si>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</si>
  <si>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</si>
  <si>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</si>
  <si>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</si>
  <si>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</si>
  <si>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</si>
  <si>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</si>
  <si>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</si>
  <si>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</si>
  <si>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</si>
  <si>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</si>
  <si>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</si>
  <si>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</si>
  <si>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</si>
  <si>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</si>
  <si>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</si>
  <si>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</si>
  <si>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</si>
  <si>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</si>
  <si>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</si>
  <si>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</si>
  <si>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</si>
  <si>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</si>
  <si>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</si>
  <si>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</si>
  <si>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</si>
  <si>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</si>
  <si>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</si>
  <si>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</si>
  <si>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</si>
  <si>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</si>
  <si>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</si>
  <si>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</si>
  <si>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</si>
  <si>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</si>
  <si>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</si>
  <si>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</si>
  <si>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</si>
  <si>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</si>
  <si>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</si>
  <si>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</si>
  <si>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</si>
  <si>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</si>
  <si>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</si>
  <si>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</si>
  <si>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</si>
  <si>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</si>
  <si>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</si>
  <si>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</si>
  <si>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</si>
  <si>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</si>
  <si>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</si>
  <si>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</si>
  <si>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</si>
  <si>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</si>
  <si>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</si>
  <si>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</si>
  <si>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</si>
  <si>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</si>
  <si>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</si>
  <si>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</si>
  <si>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</si>
  <si>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</si>
  <si>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</si>
  <si>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</si>
  <si>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</si>
  <si>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</si>
  <si>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</si>
  <si>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</si>
  <si>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</si>
  <si>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</si>
  <si>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</si>
  <si>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</si>
  <si>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</si>
  <si>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</si>
  <si>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</si>
  <si>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</si>
  <si>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</si>
  <si>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</si>
  <si>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</si>
  <si>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</si>
  <si>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</si>
  <si>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</si>
  <si>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</si>
  <si>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</si>
  <si>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</si>
  <si>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</si>
  <si>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</si>
  <si>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</si>
  <si>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</si>
  <si>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</si>
  <si>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</si>
  <si>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</si>
  <si>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</si>
  <si>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</si>
  <si>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</si>
  <si>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</si>
  <si>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</si>
  <si>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</si>
  <si>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</si>
  <si>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</si>
  <si>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</si>
  <si>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</si>
  <si>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</si>
  <si>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</si>
  <si>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</si>
  <si>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</si>
  <si>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</si>
  <si>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</si>
  <si>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</si>
  <si>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</si>
  <si>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</si>
  <si>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</si>
  <si>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</si>
  <si>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</si>
  <si>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</si>
  <si>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</si>
  <si>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</si>
  <si>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</si>
  <si>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</si>
  <si>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</si>
  <si>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</si>
  <si>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</si>
  <si>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</si>
  <si>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</si>
  <si>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</si>
  <si>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</si>
  <si>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</si>
  <si>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</si>
  <si>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</si>
  <si>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</si>
  <si>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</si>
  <si>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</si>
  <si>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</si>
  <si>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</si>
  <si>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</si>
  <si>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</si>
  <si>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</si>
  <si>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</si>
  <si>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</si>
  <si>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</si>
  <si>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</si>
  <si>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</si>
  <si>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</si>
  <si>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</si>
  <si>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</si>
  <si>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</si>
  <si>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</si>
  <si>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</si>
  <si>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</si>
  <si>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</si>
  <si>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</si>
  <si>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</si>
  <si>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</si>
  <si>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</si>
  <si>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</si>
  <si>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</si>
  <si>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</si>
  <si>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</si>
  <si>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</si>
  <si>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</si>
  <si>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</si>
  <si>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</si>
  <si>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</si>
  <si>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</si>
  <si>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</si>
  <si>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</si>
  <si>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</si>
  <si>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</si>
  <si>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</si>
  <si>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</si>
  <si>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</si>
  <si>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</si>
  <si>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</si>
  <si>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</si>
  <si>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</si>
  <si>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</si>
  <si>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</si>
  <si>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</si>
  <si>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</si>
  <si>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</si>
  <si>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</si>
  <si>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</si>
  <si>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</si>
  <si>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</si>
  <si>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</si>
  <si>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</si>
  <si>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</si>
  <si>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</si>
  <si>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</si>
  <si>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</si>
  <si>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</si>
  <si>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</si>
  <si>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</si>
  <si>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</si>
  <si>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</si>
  <si>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</si>
  <si>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</si>
  <si>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</si>
  <si>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</si>
  <si>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</si>
  <si>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</si>
  <si>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</si>
  <si>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</si>
  <si>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</si>
  <si>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</si>
  <si>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</si>
  <si>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</si>
  <si>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</si>
  <si>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</si>
  <si>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</si>
  <si>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</si>
  <si>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</si>
  <si>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</si>
  <si>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</si>
  <si>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</si>
  <si>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</si>
  <si>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</si>
  <si>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</si>
  <si>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</si>
  <si>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</si>
  <si>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</si>
  <si>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</si>
  <si>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</si>
  <si>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</si>
  <si>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</si>
  <si>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</si>
  <si>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</si>
  <si>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</si>
  <si>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</si>
  <si>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</si>
  <si>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</si>
  <si>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</si>
  <si>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</si>
  <si>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</si>
  <si>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</si>
  <si>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</si>
  <si>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</si>
  <si>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</si>
  <si>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</si>
  <si>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</si>
  <si>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</si>
  <si>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</si>
  <si>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</si>
  <si>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</si>
  <si>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</si>
  <si>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</si>
  <si>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</si>
  <si>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</si>
  <si>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</si>
  <si>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</si>
  <si>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</si>
  <si>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</si>
  <si>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</si>
  <si>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</si>
  <si>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</si>
  <si>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</si>
  <si>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</si>
  <si>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</si>
  <si>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</si>
  <si>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</si>
  <si>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</si>
  <si>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</si>
  <si>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</si>
  <si>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</si>
  <si>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</si>
  <si>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</si>
  <si>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</si>
  <si>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</si>
  <si>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</si>
  <si>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</si>
  <si>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</si>
  <si>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</si>
  <si>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</si>
  <si>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</si>
  <si>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</si>
  <si>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</si>
  <si>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</si>
  <si>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</si>
  <si>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</si>
  <si>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</si>
  <si>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</si>
  <si>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</si>
  <si>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</si>
  <si>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</si>
  <si>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</si>
  <si>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</si>
  <si>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</si>
  <si>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</si>
  <si>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</si>
  <si>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</si>
  <si>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</si>
  <si>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</si>
  <si>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</si>
  <si>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</si>
  <si>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</si>
  <si>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</si>
  <si>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</si>
  <si>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</si>
  <si>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</si>
  <si>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</si>
  <si>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</si>
  <si>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</si>
  <si>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</si>
  <si>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</si>
  <si>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</si>
  <si>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</si>
  <si>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</si>
  <si>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</si>
  <si>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</si>
  <si>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</si>
  <si>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</si>
  <si>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</si>
  <si>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</si>
  <si>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</si>
  <si>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</si>
  <si>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</si>
  <si>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</si>
  <si>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</si>
  <si>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</si>
  <si>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</si>
  <si>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</si>
  <si>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</si>
  <si>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</si>
  <si>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</si>
  <si>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</si>
  <si>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</si>
  <si>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</si>
  <si>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</si>
  <si>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</si>
  <si>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</si>
  <si>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</si>
  <si>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</si>
  <si>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</si>
  <si>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</si>
  <si>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</si>
  <si>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</si>
  <si>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</si>
  <si>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</si>
  <si>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</si>
  <si>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</si>
  <si>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</si>
  <si>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</si>
  <si>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</si>
  <si>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</si>
  <si>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</si>
  <si>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</si>
  <si>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</si>
  <si>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</si>
  <si>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</si>
  <si>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</si>
  <si>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</si>
  <si>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</si>
  <si>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</si>
  <si>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</si>
  <si>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</si>
  <si>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</si>
  <si>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</si>
  <si>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</si>
  <si>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</si>
  <si>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</si>
  <si>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</si>
  <si>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</si>
  <si>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</si>
  <si>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</si>
  <si>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</si>
  <si>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</si>
  <si>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</si>
  <si>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</si>
  <si>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</si>
  <si>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</si>
  <si>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</si>
  <si>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</si>
  <si>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</si>
  <si>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</si>
  <si>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</si>
  <si>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</si>
  <si>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</si>
  <si>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</si>
  <si>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</si>
  <si>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</si>
  <si>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</si>
  <si>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</si>
  <si>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</si>
  <si>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</si>
  <si>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</si>
  <si>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</si>
  <si>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</si>
  <si>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</si>
  <si>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</si>
  <si>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</si>
  <si>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</si>
  <si>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</si>
  <si>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</si>
  <si>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</si>
  <si>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</si>
  <si>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</si>
  <si>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</si>
  <si>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</si>
  <si>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</si>
  <si>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</si>
  <si>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</si>
  <si>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</si>
  <si>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</si>
  <si>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</si>
  <si>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</si>
  <si>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</si>
  <si>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</si>
  <si>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</si>
  <si>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</si>
  <si>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</si>
  <si>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</si>
  <si>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</si>
  <si>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</si>
  <si>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</si>
  <si>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</si>
  <si>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</si>
  <si>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</si>
  <si>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</si>
  <si>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</si>
  <si>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</si>
  <si>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</si>
  <si>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</si>
  <si>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</si>
  <si>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</si>
  <si>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</si>
  <si>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</si>
  <si>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</si>
  <si>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</si>
  <si>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</si>
  <si>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</si>
  <si>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</si>
  <si>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</si>
  <si>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</si>
  <si>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</si>
  <si>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</si>
  <si>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</si>
  <si>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</si>
  <si>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</si>
  <si>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</si>
  <si>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</si>
  <si>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</si>
  <si>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</si>
  <si>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</si>
  <si>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</si>
  <si>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</si>
  <si>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</si>
  <si>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</si>
  <si>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</si>
  <si>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</si>
  <si>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</si>
  <si>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</si>
  <si>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</si>
  <si>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</si>
  <si>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</si>
  <si>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</si>
  <si>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</si>
  <si>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</si>
  <si>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</si>
  <si>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</si>
  <si>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</si>
  <si>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</si>
  <si>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</si>
  <si>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</si>
  <si>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</si>
  <si>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</si>
  <si>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</si>
  <si>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</si>
  <si>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</si>
  <si>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</si>
  <si>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</si>
  <si>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</si>
  <si>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</si>
  <si>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</si>
  <si>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</si>
  <si>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</si>
  <si>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</si>
  <si>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</si>
  <si>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</si>
  <si>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</si>
  <si>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</si>
  <si>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</si>
  <si>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</si>
  <si>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</si>
  <si>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</si>
  <si>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</si>
  <si>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</si>
  <si>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</si>
  <si>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</si>
  <si>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</si>
  <si>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</si>
  <si>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</si>
  <si>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</si>
  <si>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</si>
  <si>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</si>
  <si>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</si>
  <si>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</si>
  <si>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</si>
  <si>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</si>
  <si>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</si>
  <si>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</si>
  <si>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</si>
  <si>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</si>
  <si>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</si>
  <si>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</si>
  <si>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</si>
  <si>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</si>
  <si>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</si>
  <si>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</si>
  <si>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</si>
  <si>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</si>
  <si>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</si>
  <si>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</si>
  <si>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</si>
  <si>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</si>
  <si>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</si>
  <si>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</si>
  <si>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</si>
  <si>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</si>
  <si>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</si>
  <si>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</si>
  <si>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</si>
  <si>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</si>
  <si>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</si>
  <si>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</si>
  <si>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COMUNIDAD VALENCIANA</t>
  </si>
  <si>
    <t>Provincias</t>
  </si>
  <si>
    <t>VALENCIA</t>
  </si>
  <si>
    <t>Resumenes por Partidos Judiciales</t>
  </si>
  <si>
    <t>GANDIA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</si>
</sst>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pn0hf7HvD1Ca+fqcc6OgRkl397QL1YMrIPflTFX7+uKt9u3/2r2xeYfC4QK2dO3EzGfZAXSkGWVZv6z27A23tg==" saltValue="smFZrecFFoxhOrBDiJDea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COMUNIDAD VALENCIANA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6</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17.255421686746988</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80</v>
      </c>
      <c r="D10" s="229">
        <f>IF(ISNUMBER(Datos!I10),Datos!I10," - ")</f>
        <v>80</v>
      </c>
      <c r="E10" s="230">
        <f>IF(ISNUMBER(Datos!J10),Datos!J10," - ")</f>
        <v>28</v>
      </c>
      <c r="F10" s="230">
        <f>IF(ISNUMBER(Datos!K10),Datos!K10," - ")</f>
        <v>17</v>
      </c>
      <c r="G10" s="1189" t="str">
        <f>IF(Datos!E10&lt;&gt;"",Datos!E10,Datos!D10)</f>
        <v>37</v>
      </c>
      <c r="H10" s="231">
        <f>IF(ISNUMBER(Datos!L10),Datos!L10," - ")</f>
        <v>91</v>
      </c>
      <c r="I10" s="1199" t="str">
        <f>IF(ISNUMBER(Datos!AS10/Datos!BM10),Datos!AS10/Datos!BM10," - ")</f>
        <v xml:space="preserve"> - </v>
      </c>
      <c r="J10" s="1200">
        <f>IF(ISNUMBER(Datos!BY10/Datos!CN10),Datos!BY10/Datos!CN10," - ")</f>
        <v>0</v>
      </c>
      <c r="K10" s="234">
        <f t="shared" ref="K10:K12" si="1">IF(ISNUMBER((E10-F10)/C10),(E10-F10)/C10," - ")</f>
        <v>0.13750000000000001</v>
      </c>
      <c r="L10" s="1201">
        <f>IF(ISNUMBER(NºAsuntos!I10/NºAsuntos!G10),(NºAsuntos!I10/NºAsuntos!G10)*11," - ")</f>
        <v>58.882352941176464</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80</v>
      </c>
      <c r="D13" s="1206">
        <f>SUBTOTAL(9,D9:D12)</f>
        <v>80</v>
      </c>
      <c r="E13" s="1207">
        <f>SUBTOTAL(9,E9:E12)</f>
        <v>28</v>
      </c>
      <c r="F13" s="1208">
        <f>SUBTOTAL(9,F9:F12)</f>
        <v>17</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3</v>
      </c>
      <c r="B15" s="1254" t="str">
        <f>Datos!A15</f>
        <v xml:space="preserve">Jdos. Instrucción                               </v>
      </c>
      <c r="C15" s="229">
        <f t="shared" ref="C15:C17" si="2">IF(ISNUMBER(H15-E15+F15),H15-E15+F15," - ")</f>
        <v>1567</v>
      </c>
      <c r="D15" s="229">
        <f>IF(ISNUMBER(IF(D_I="SI",Datos!I15,Datos!I15+Datos!AC15)),IF(D_I="SI",Datos!I15,Datos!I15+Datos!AC15)," - ")</f>
        <v>1493</v>
      </c>
      <c r="E15" s="230">
        <f>IF(ISNUMBER(IF(D_I="SI",Datos!J15,Datos!J15+Datos!AD15)),IF(D_I="SI",Datos!J15,Datos!J15+Datos!AD15)," - ")</f>
        <v>2258</v>
      </c>
      <c r="F15" s="230">
        <f>IF(ISNUMBER(IF(D_I="SI",Datos!K15,Datos!K15+Datos!AE15)),IF(D_I="SI",Datos!K15,Datos!K15+Datos!AE15)," - ")</f>
        <v>2204</v>
      </c>
      <c r="G15" s="1189" t="str">
        <f>IF(Datos!E15&lt;&gt;"",Datos!E15,Datos!D15)</f>
        <v>03</v>
      </c>
      <c r="H15" s="231">
        <f>IF(ISNUMBER(IF(D_I="SI",Datos!L15,Datos!L15+Datos!AF15)),IF(D_I="SI",Datos!L15,Datos!L15+Datos!AF15)," - ")</f>
        <v>1621</v>
      </c>
      <c r="I15" s="1199" t="str">
        <f>IF(ISNUMBER(Datos!AS15/Datos!BM15),Datos!AS15/Datos!BM15," - ")</f>
        <v xml:space="preserve"> - </v>
      </c>
      <c r="J15" s="1200">
        <f>IF(ISNUMBER(Datos!BY15/Datos!CN15),Datos!BY15/Datos!CN15," - ")</f>
        <v>0</v>
      </c>
      <c r="K15" s="234">
        <f t="shared" ref="K15:K17" si="3">IF(ISNUMBER((E15-F15)/C15),(E15-F15)/C15," - ")</f>
        <v>3.4460753031269942E-2</v>
      </c>
      <c r="L15" s="1201">
        <f>IF(ISNUMBER(NºAsuntos!I15/NºAsuntos!G15),(NºAsuntos!I15/NºAsuntos!G15)*11," - ")</f>
        <v>8.0902903811252269</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100</v>
      </c>
      <c r="D17" s="229">
        <f>IF(ISNUMBER(IF(D_I="SI",Datos!I17,Datos!I17+Datos!AC17)),IF(D_I="SI",Datos!I17,Datos!I17+Datos!AC17)," - ")</f>
        <v>100</v>
      </c>
      <c r="E17" s="230">
        <f>IF(ISNUMBER(IF(D_I="SI",Datos!J17,Datos!J17+Datos!AD17)),IF(D_I="SI",Datos!J17,Datos!J17+Datos!AD17)," - ")</f>
        <v>238</v>
      </c>
      <c r="F17" s="230">
        <f>IF(ISNUMBER(IF(D_I="SI",Datos!K17,Datos!K17+Datos!AE17)),IF(D_I="SI",Datos!K17,Datos!K17+Datos!AE17)," - ")</f>
        <v>238</v>
      </c>
      <c r="G17" s="1189" t="str">
        <f>IF(Datos!E17&lt;&gt;"",Datos!E17,Datos!D17)</f>
        <v>37</v>
      </c>
      <c r="H17" s="231">
        <f>IF(ISNUMBER(IF(D_I="SI",Datos!L17,Datos!L17+Datos!AF17)),IF(D_I="SI",Datos!L17,Datos!L17+Datos!AF17)," - ")</f>
        <v>100</v>
      </c>
      <c r="I17" s="1199" t="str">
        <f>IF(ISNUMBER(Datos!AS17/Datos!BM17),Datos!AS17/Datos!BM17," - ")</f>
        <v xml:space="preserve"> - </v>
      </c>
      <c r="J17" s="1200" t="str">
        <f>IF(ISNUMBER((Datos!BY17+Datos!BZ17)/Datos!CN17),(Datos!BY17+Datos!BZ17)/Datos!CN17," - ")</f>
        <v xml:space="preserve"> - </v>
      </c>
      <c r="K17" s="234">
        <f t="shared" si="3"/>
        <v>0</v>
      </c>
      <c r="L17" s="1201">
        <f>IF(ISNUMBER(NºAsuntos!I17/NºAsuntos!G17),(NºAsuntos!I17/NºAsuntos!G17)*11," - ")</f>
        <v>4.6218487394957988</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1667</v>
      </c>
      <c r="D18" s="1206">
        <f>SUBTOTAL(9,D15:D17)</f>
        <v>1593</v>
      </c>
      <c r="E18" s="1207">
        <f>SUBTOTAL(9,E15:E17)</f>
        <v>2496</v>
      </c>
      <c r="F18" s="1207">
        <f>SUBTOTAL(9,F15:F17)</f>
        <v>2442</v>
      </c>
      <c r="G18" s="1209" t="str">
        <f ca="1">INDIRECT(CONCATENATE("G",ROW()-1))</f>
        <v>37</v>
      </c>
      <c r="H18" s="1210">
        <f ca="1">SUMIF(G$14:G17,G18,H$14:H17)</f>
        <v>100</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1747</v>
      </c>
      <c r="D19" s="1228">
        <f>SUBTOTAL(9,D9:D18)</f>
        <v>1673</v>
      </c>
      <c r="E19" s="1229">
        <f>SUBTOTAL(9,E9:E18)</f>
        <v>2524</v>
      </c>
      <c r="F19" s="1229">
        <f>SUBTOTAL(9,F9:F18)</f>
        <v>2459</v>
      </c>
      <c r="G19" s="1230"/>
      <c r="H19" s="1231">
        <f ca="1">SUMIF(B9:B18,"TOTAL",H9:H18)</f>
        <v>100</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RV4miBYsFAa8NSIHwoftsQ8ynnIFzlw2ak254mwXqsC8LvNs2TdqtOYuetS0PiSnnK3byluspuWBfOnvF1/nug==" saltValue="N+E445e8rT+vLqHYagMX3Q=="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ri5OvuCrIIHFuae8DP2ysBlsNdyZMKT9P0x4q63vbWhdVeiDabTA4QjTCmww+Eq2UxjWH9AJz09/IZE9+IT4gA==" saltValue="AM144xPVNMgCETKy4EsEr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v>4359</v>
      </c>
      <c r="J9" s="185">
        <v>2656</v>
      </c>
      <c r="K9" s="185">
        <v>2690</v>
      </c>
      <c r="L9" s="185">
        <v>4297</v>
      </c>
      <c r="M9" s="185">
        <v>460</v>
      </c>
      <c r="N9" s="185">
        <v>1086</v>
      </c>
      <c r="O9" s="185">
        <v>1858</v>
      </c>
      <c r="P9" s="185">
        <v>499</v>
      </c>
      <c r="Q9" s="185">
        <v>600</v>
      </c>
      <c r="R9" s="185">
        <v>8022</v>
      </c>
      <c r="S9" s="185">
        <v>3924</v>
      </c>
      <c r="T9" s="185">
        <v>2251</v>
      </c>
      <c r="U9" s="185">
        <v>2231</v>
      </c>
      <c r="V9" s="185">
        <v>3944</v>
      </c>
      <c r="W9" s="185">
        <v>473</v>
      </c>
      <c r="X9" s="192">
        <v>911</v>
      </c>
      <c r="Y9" s="195">
        <v>246</v>
      </c>
      <c r="Z9" s="185">
        <v>203</v>
      </c>
      <c r="AA9" s="185">
        <v>215</v>
      </c>
      <c r="AB9" s="185">
        <v>260</v>
      </c>
      <c r="AC9" s="185">
        <v>0</v>
      </c>
      <c r="AD9" s="185">
        <v>0</v>
      </c>
      <c r="AE9" s="185">
        <v>0</v>
      </c>
      <c r="AF9" s="192">
        <v>0</v>
      </c>
      <c r="AG9" s="195">
        <v>239</v>
      </c>
      <c r="AH9" s="185">
        <v>226</v>
      </c>
      <c r="AI9" s="185">
        <v>239</v>
      </c>
      <c r="AJ9" s="196">
        <v>226</v>
      </c>
      <c r="AK9" s="184">
        <v>0</v>
      </c>
      <c r="AL9" s="185">
        <v>0</v>
      </c>
      <c r="AM9" s="185">
        <v>0</v>
      </c>
      <c r="AN9" s="192">
        <v>0</v>
      </c>
      <c r="AO9" s="262">
        <v>6</v>
      </c>
      <c r="AP9" s="158">
        <v>6</v>
      </c>
      <c r="AQ9" s="158">
        <v>6</v>
      </c>
      <c r="AR9" s="197">
        <v>6</v>
      </c>
      <c r="AS9" s="347" t="s">
        <v>808</v>
      </c>
      <c r="AT9" s="199"/>
      <c r="AU9" s="198"/>
      <c r="AV9" s="199"/>
      <c r="AW9" s="198"/>
      <c r="AX9" s="199"/>
      <c r="AY9" s="124">
        <f>IF(ISNUMBER(IF(J_V="SI",S9,S9+AG9)),IF(J_V="SI",S9,S9+AG9)," - ")</f>
        <v>4163</v>
      </c>
      <c r="AZ9" s="124">
        <f>IF(ISNUMBER(IF(J_V="SI",T9,T9+AH9)),IF(J_V="SI",T9,T9+AH9)," - ")</f>
        <v>2477</v>
      </c>
      <c r="BA9" s="125">
        <f>IF(ISNUMBER(IF(J_V="SI",U9,U9+AI9)),IF(J_V="SI",U9,U9+AI9)," - ")</f>
        <v>2470</v>
      </c>
      <c r="BB9" s="125">
        <f>IF(ISNUMBER(IF(J_V="SI",V9,V9+AJ9)),IF(J_V="SI",V9,V9+AJ9)," - ")</f>
        <v>4170</v>
      </c>
      <c r="BC9" s="126">
        <f>IF(ISNUMBER(X9),X9," - ")</f>
        <v>911</v>
      </c>
      <c r="BD9" s="127">
        <f>IF(ISNUMBER(BA9/AZ9),BA9/AZ9," - ")</f>
        <v>0.99717400080742835</v>
      </c>
      <c r="BE9" s="128">
        <f>IF(ISNUMBER(BB9/BA9),BB9/BA9, " - ")</f>
        <v>1.6882591093117409</v>
      </c>
      <c r="BF9" s="128">
        <f>IF(ISNUMBER(BC9/BA9),BC9/BA9, " - ")</f>
        <v>0.36882591093117406</v>
      </c>
      <c r="BG9" s="200">
        <f>IF(ISNUMBER((AY9+AZ9)/BA9),(AY9+AZ9)/BA9," - ")</f>
        <v>2.6882591093117409</v>
      </c>
      <c r="BH9" s="158">
        <v>6</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80</v>
      </c>
      <c r="J10" s="185">
        <v>28</v>
      </c>
      <c r="K10" s="185">
        <v>17</v>
      </c>
      <c r="L10" s="185">
        <v>91</v>
      </c>
      <c r="M10" s="185">
        <v>8</v>
      </c>
      <c r="N10" s="185">
        <v>8</v>
      </c>
      <c r="O10" s="185">
        <v>7</v>
      </c>
      <c r="P10" s="185">
        <v>7</v>
      </c>
      <c r="Q10" s="185">
        <v>6</v>
      </c>
      <c r="R10" s="185">
        <v>67</v>
      </c>
      <c r="S10" s="185">
        <v>41</v>
      </c>
      <c r="T10" s="185">
        <v>30</v>
      </c>
      <c r="U10" s="185">
        <v>25</v>
      </c>
      <c r="V10" s="185">
        <v>46</v>
      </c>
      <c r="W10" s="185">
        <v>9</v>
      </c>
      <c r="X10" s="192">
        <v>12</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1</v>
      </c>
      <c r="AQ10" s="158">
        <v>1</v>
      </c>
      <c r="AR10" s="159">
        <v>1</v>
      </c>
      <c r="AS10" s="348" t="s">
        <v>802</v>
      </c>
      <c r="AT10" s="196"/>
      <c r="AU10" s="204"/>
      <c r="AV10" s="196"/>
      <c r="AW10" s="204"/>
      <c r="AX10" s="196"/>
      <c r="AY10" s="129">
        <f t="shared" ref="AY10:BC10" si="0">IF(ISNUMBER(S10),S10," - ")</f>
        <v>41</v>
      </c>
      <c r="AZ10" s="130">
        <f t="shared" si="0"/>
        <v>30</v>
      </c>
      <c r="BA10" s="130">
        <f t="shared" si="0"/>
        <v>25</v>
      </c>
      <c r="BB10" s="130">
        <f t="shared" si="0"/>
        <v>46</v>
      </c>
      <c r="BC10" s="126">
        <f t="shared" si="0"/>
        <v>9</v>
      </c>
      <c r="BD10" s="127">
        <f>IF(ISNUMBER(BA10/AZ10),BA10/AZ10," - ")</f>
        <v>0.83333333333333337</v>
      </c>
      <c r="BE10" s="128">
        <f>IF(ISNUMBER(BB10/BA10),BB10/BA10, " - ")</f>
        <v>1.84</v>
      </c>
      <c r="BF10" s="128">
        <f>IF(ISNUMBER(BC10/BA10),BC10/BA10, " - ")</f>
        <v>0.36</v>
      </c>
      <c r="BG10" s="200">
        <f>IF(ISNUMBER((AY10+AZ10)/BA10),(AY10+AZ10)/BA10," - ")</f>
        <v>2.84</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0</v>
      </c>
      <c r="J12" s="187">
        <v>0</v>
      </c>
      <c r="K12" s="187">
        <v>0</v>
      </c>
      <c r="L12" s="187">
        <v>0</v>
      </c>
      <c r="M12" s="187">
        <v>0</v>
      </c>
      <c r="N12" s="187">
        <v>0</v>
      </c>
      <c r="O12" s="185">
        <v>0</v>
      </c>
      <c r="P12" s="187">
        <v>0</v>
      </c>
      <c r="Q12" s="187">
        <v>0</v>
      </c>
      <c r="R12" s="187">
        <v>279</v>
      </c>
      <c r="S12" s="187">
        <v>1</v>
      </c>
      <c r="T12" s="187">
        <v>2</v>
      </c>
      <c r="U12" s="187">
        <v>1</v>
      </c>
      <c r="V12" s="187">
        <v>2</v>
      </c>
      <c r="W12" s="187">
        <v>0</v>
      </c>
      <c r="X12" s="193">
        <v>0</v>
      </c>
      <c r="Y12" s="195">
        <v>0</v>
      </c>
      <c r="Z12" s="185">
        <v>0</v>
      </c>
      <c r="AA12" s="185">
        <v>0</v>
      </c>
      <c r="AB12" s="185">
        <v>0</v>
      </c>
      <c r="AC12" s="187">
        <v>0</v>
      </c>
      <c r="AD12" s="187">
        <v>0</v>
      </c>
      <c r="AE12" s="187">
        <v>0</v>
      </c>
      <c r="AF12" s="193">
        <v>0</v>
      </c>
      <c r="AG12" s="206">
        <v>0</v>
      </c>
      <c r="AH12" s="187">
        <v>0</v>
      </c>
      <c r="AI12" s="187">
        <v>0</v>
      </c>
      <c r="AJ12" s="207">
        <v>0</v>
      </c>
      <c r="AK12" s="186">
        <v>0</v>
      </c>
      <c r="AL12" s="187">
        <v>0</v>
      </c>
      <c r="AM12" s="187">
        <v>0</v>
      </c>
      <c r="AN12" s="193">
        <v>0</v>
      </c>
      <c r="AO12" s="263">
        <v>0</v>
      </c>
      <c r="AP12" s="159">
        <v>0</v>
      </c>
      <c r="AQ12" s="159">
        <v>0</v>
      </c>
      <c r="AR12" s="158">
        <v>0</v>
      </c>
      <c r="AS12" s="349" t="s">
        <v>811</v>
      </c>
      <c r="AT12" s="207"/>
      <c r="AU12" s="206"/>
      <c r="AV12" s="207"/>
      <c r="AW12" s="206"/>
      <c r="AX12" s="207"/>
      <c r="AY12" s="127">
        <f t="shared" si="1"/>
        <v>1</v>
      </c>
      <c r="AZ12" s="128">
        <f t="shared" si="1"/>
        <v>2</v>
      </c>
      <c r="BA12" s="128">
        <f t="shared" si="1"/>
        <v>1</v>
      </c>
      <c r="BB12" s="128">
        <f t="shared" si="1"/>
        <v>2</v>
      </c>
      <c r="BC12" s="126">
        <f>IF(ISNUMBER(X12),X12," - ")</f>
        <v>0</v>
      </c>
      <c r="BD12" s="127">
        <f t="shared" si="2"/>
        <v>0.5</v>
      </c>
      <c r="BE12" s="128">
        <f t="shared" si="3"/>
        <v>2</v>
      </c>
      <c r="BF12" s="128">
        <f t="shared" si="4"/>
        <v>0</v>
      </c>
      <c r="BG12" s="200">
        <f t="shared" si="5"/>
        <v>3</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4439</v>
      </c>
      <c r="J13" s="188">
        <f t="shared" si="6"/>
        <v>2684</v>
      </c>
      <c r="K13" s="188">
        <f t="shared" si="6"/>
        <v>2707</v>
      </c>
      <c r="L13" s="188">
        <f t="shared" si="6"/>
        <v>4388</v>
      </c>
      <c r="M13" s="188">
        <f t="shared" si="6"/>
        <v>468</v>
      </c>
      <c r="N13" s="188">
        <f t="shared" si="6"/>
        <v>1094</v>
      </c>
      <c r="O13" s="188">
        <f t="shared" si="6"/>
        <v>1865</v>
      </c>
      <c r="P13" s="188">
        <f t="shared" si="6"/>
        <v>506</v>
      </c>
      <c r="Q13" s="188">
        <f t="shared" si="6"/>
        <v>606</v>
      </c>
      <c r="R13" s="188">
        <f t="shared" si="6"/>
        <v>8368</v>
      </c>
      <c r="S13" s="188">
        <f t="shared" si="6"/>
        <v>3966</v>
      </c>
      <c r="T13" s="188">
        <f t="shared" si="6"/>
        <v>2283</v>
      </c>
      <c r="U13" s="188">
        <f t="shared" si="6"/>
        <v>2257</v>
      </c>
      <c r="V13" s="188">
        <f t="shared" si="6"/>
        <v>3992</v>
      </c>
      <c r="W13" s="188">
        <f t="shared" si="6"/>
        <v>482</v>
      </c>
      <c r="X13" s="188">
        <f t="shared" si="6"/>
        <v>923</v>
      </c>
      <c r="Y13" s="188">
        <f t="shared" si="6"/>
        <v>246</v>
      </c>
      <c r="Z13" s="188">
        <f t="shared" si="6"/>
        <v>203</v>
      </c>
      <c r="AA13" s="188">
        <f t="shared" si="6"/>
        <v>215</v>
      </c>
      <c r="AB13" s="188">
        <f t="shared" si="6"/>
        <v>260</v>
      </c>
      <c r="AC13" s="188">
        <f t="shared" si="6"/>
        <v>0</v>
      </c>
      <c r="AD13" s="188">
        <f t="shared" si="6"/>
        <v>0</v>
      </c>
      <c r="AE13" s="188">
        <f t="shared" si="6"/>
        <v>0</v>
      </c>
      <c r="AF13" s="188">
        <f>SUBTOTAL(9,AF9:AF12)</f>
        <v>0</v>
      </c>
      <c r="AG13" s="188">
        <f t="shared" ref="AG13:AT13" si="7">SUBTOTAL(9,AG8:AG12)</f>
        <v>239</v>
      </c>
      <c r="AH13" s="188">
        <f t="shared" si="7"/>
        <v>226</v>
      </c>
      <c r="AI13" s="188">
        <f t="shared" si="7"/>
        <v>239</v>
      </c>
      <c r="AJ13" s="188">
        <f t="shared" si="7"/>
        <v>226</v>
      </c>
      <c r="AK13" s="188">
        <f t="shared" si="7"/>
        <v>0</v>
      </c>
      <c r="AL13" s="188">
        <f t="shared" si="7"/>
        <v>0</v>
      </c>
      <c r="AM13" s="188">
        <f t="shared" si="7"/>
        <v>0</v>
      </c>
      <c r="AN13" s="188">
        <f t="shared" si="7"/>
        <v>0</v>
      </c>
      <c r="AO13" s="188">
        <f t="shared" si="7"/>
        <v>7</v>
      </c>
      <c r="AP13" s="188">
        <f t="shared" si="7"/>
        <v>7</v>
      </c>
      <c r="AQ13" s="188">
        <f t="shared" si="7"/>
        <v>7</v>
      </c>
      <c r="AR13" s="188">
        <f t="shared" si="7"/>
        <v>7</v>
      </c>
      <c r="AS13" s="188">
        <f t="shared" si="7"/>
        <v>0</v>
      </c>
      <c r="AT13" s="188">
        <f t="shared" si="7"/>
        <v>0</v>
      </c>
      <c r="AU13" s="208"/>
      <c r="AV13" s="133"/>
      <c r="AW13" s="208"/>
      <c r="AX13" s="133"/>
      <c r="AY13" s="188">
        <f>SUBTOTAL(9,AY8:AY12)</f>
        <v>4205</v>
      </c>
      <c r="AZ13" s="188">
        <f>SUBTOTAL(9,AZ8:AZ12)</f>
        <v>2509</v>
      </c>
      <c r="BA13" s="188">
        <f>SUBTOTAL(9,BA8:BA12)</f>
        <v>2496</v>
      </c>
      <c r="BB13" s="188">
        <f>SUBTOTAL(9,BB8:BB12)</f>
        <v>4218</v>
      </c>
      <c r="BC13" s="188">
        <f>SUBTOTAL(9,BC8:BC12)</f>
        <v>920</v>
      </c>
      <c r="BD13" s="209">
        <f>IF(ISNUMBER(BA13/AZ13),BA13/AZ13," - ")</f>
        <v>0.99481865284974091</v>
      </c>
      <c r="BE13" s="210">
        <f>IF(ISNUMBER(BB13/BA13),BB13/BA13, " - ")</f>
        <v>1.6899038461538463</v>
      </c>
      <c r="BF13" s="210">
        <f>IF(ISNUMBER(BC13/BA13),BC13/BA13, " - ")</f>
        <v>0.36858974358974361</v>
      </c>
      <c r="BG13" s="211">
        <f>IF(ISNUMBER((AY13+AZ13)/BA13),(AY13+AZ13)/BA13," - ")</f>
        <v>2.6899038461538463</v>
      </c>
      <c r="BH13" s="144">
        <f>SUBTOTAL(9,BH8:BH12)</f>
        <v>7</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1493</v>
      </c>
      <c r="J15" s="187">
        <v>2258</v>
      </c>
      <c r="K15" s="187">
        <v>2204</v>
      </c>
      <c r="L15" s="187">
        <v>1621</v>
      </c>
      <c r="M15" s="187">
        <v>378</v>
      </c>
      <c r="N15" s="187">
        <v>1234</v>
      </c>
      <c r="O15" s="185">
        <v>109</v>
      </c>
      <c r="P15" s="187">
        <v>111</v>
      </c>
      <c r="Q15" s="187">
        <v>125</v>
      </c>
      <c r="R15" s="187">
        <v>347</v>
      </c>
      <c r="S15" s="187">
        <v>1213</v>
      </c>
      <c r="T15" s="187">
        <v>2165</v>
      </c>
      <c r="U15" s="187">
        <v>2264</v>
      </c>
      <c r="V15" s="187">
        <v>1148</v>
      </c>
      <c r="W15" s="187">
        <v>441</v>
      </c>
      <c r="X15" s="193">
        <v>1099</v>
      </c>
      <c r="Y15" s="206">
        <v>0</v>
      </c>
      <c r="Z15" s="187">
        <v>0</v>
      </c>
      <c r="AA15" s="187">
        <v>0</v>
      </c>
      <c r="AB15" s="187">
        <v>0</v>
      </c>
      <c r="AC15" s="187">
        <v>0</v>
      </c>
      <c r="AD15" s="187">
        <v>13</v>
      </c>
      <c r="AE15" s="187">
        <v>13</v>
      </c>
      <c r="AF15" s="193">
        <v>0</v>
      </c>
      <c r="AG15" s="206">
        <v>0</v>
      </c>
      <c r="AH15" s="187">
        <v>0</v>
      </c>
      <c r="AI15" s="187">
        <v>0</v>
      </c>
      <c r="AJ15" s="207">
        <v>0</v>
      </c>
      <c r="AK15" s="186">
        <v>0</v>
      </c>
      <c r="AL15" s="187">
        <v>31</v>
      </c>
      <c r="AM15" s="187">
        <v>31</v>
      </c>
      <c r="AN15" s="193">
        <v>0</v>
      </c>
      <c r="AO15" s="263">
        <v>3</v>
      </c>
      <c r="AP15" s="159">
        <v>3</v>
      </c>
      <c r="AQ15" s="159">
        <v>3</v>
      </c>
      <c r="AR15" s="159">
        <v>3</v>
      </c>
      <c r="AS15" s="349" t="s">
        <v>531</v>
      </c>
      <c r="AT15" s="207" t="s">
        <v>329</v>
      </c>
      <c r="AU15" s="206"/>
      <c r="AV15" s="207"/>
      <c r="AW15" s="206"/>
      <c r="AX15" s="207"/>
      <c r="AY15" s="129">
        <f t="shared" ref="AY15:BB16" si="9">IF(ISNUMBER(IF(D_I="SI",S15,S15+AK15)),IF(D_I="SI",S15,S15+AK15)," - ")</f>
        <v>1213</v>
      </c>
      <c r="AZ15" s="130">
        <f t="shared" si="9"/>
        <v>2165</v>
      </c>
      <c r="BA15" s="130">
        <f t="shared" si="9"/>
        <v>2264</v>
      </c>
      <c r="BB15" s="130">
        <f t="shared" si="9"/>
        <v>1148</v>
      </c>
      <c r="BC15" s="126">
        <f>IF(ISNUMBER(W15),W15," - ")</f>
        <v>441</v>
      </c>
      <c r="BD15" s="127">
        <f>IF(ISNUMBER(BA15/AZ15),BA15/AZ15," - ")</f>
        <v>1.0457274826789837</v>
      </c>
      <c r="BE15" s="128">
        <f>IF(ISNUMBER(BB15/BA15),BB15/BA15, " - ")</f>
        <v>0.50706713780918733</v>
      </c>
      <c r="BF15" s="128">
        <f>IF(ISNUMBER(BC15/BA15),BC15/BA15, " - ")</f>
        <v>0.19478798586572438</v>
      </c>
      <c r="BG15" s="200">
        <f t="shared" ref="BG15:BG16" si="10">IF(ISNUMBER((AY15+AZ15)/BA15),(AY15+AZ15)/BA15," - ")</f>
        <v>1.4920494699646643</v>
      </c>
      <c r="BH15" s="159">
        <v>3</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100</v>
      </c>
      <c r="J17" s="187">
        <v>238</v>
      </c>
      <c r="K17" s="187">
        <v>238</v>
      </c>
      <c r="L17" s="187">
        <v>100</v>
      </c>
      <c r="M17" s="187">
        <v>66</v>
      </c>
      <c r="N17" s="187">
        <v>175</v>
      </c>
      <c r="O17" s="187">
        <v>15</v>
      </c>
      <c r="P17" s="187">
        <v>14</v>
      </c>
      <c r="Q17" s="187">
        <v>14</v>
      </c>
      <c r="R17" s="187">
        <v>26</v>
      </c>
      <c r="S17" s="187">
        <v>96</v>
      </c>
      <c r="T17" s="187">
        <v>239</v>
      </c>
      <c r="U17" s="187">
        <v>237</v>
      </c>
      <c r="V17" s="187">
        <v>98</v>
      </c>
      <c r="W17" s="187">
        <v>68</v>
      </c>
      <c r="X17" s="193">
        <v>161</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1</v>
      </c>
      <c r="AQ17" s="158">
        <v>1</v>
      </c>
      <c r="AR17" s="159">
        <v>1</v>
      </c>
      <c r="AS17" s="348" t="s">
        <v>801</v>
      </c>
      <c r="AT17" s="213"/>
      <c r="AU17" s="204"/>
      <c r="AV17" s="213"/>
      <c r="AW17" s="204"/>
      <c r="AX17" s="213"/>
      <c r="AY17" s="129">
        <f t="shared" ref="AY17:BB17" si="14">IF(ISNUMBER(S17),S17," - ")</f>
        <v>96</v>
      </c>
      <c r="AZ17" s="130">
        <f t="shared" si="14"/>
        <v>239</v>
      </c>
      <c r="BA17" s="130">
        <f t="shared" si="14"/>
        <v>237</v>
      </c>
      <c r="BB17" s="130">
        <f t="shared" si="14"/>
        <v>98</v>
      </c>
      <c r="BC17" s="126">
        <f>IF(ISNUMBER(W17),W17," - ")</f>
        <v>68</v>
      </c>
      <c r="BD17" s="127">
        <f>IF(ISNUMBER(BA17/AZ17),BA17/AZ17," - ")</f>
        <v>0.99163179916317989</v>
      </c>
      <c r="BE17" s="128">
        <f>IF(ISNUMBER(BB17/BA17),BB17/BA17, " - ")</f>
        <v>0.41350210970464135</v>
      </c>
      <c r="BF17" s="128">
        <f>IF(ISNUMBER(BC17/BA17),BC17/BA17, " - ")</f>
        <v>0.28691983122362869</v>
      </c>
      <c r="BG17" s="200">
        <f>IF(ISNUMBER((AY17+AZ17)/BA17),(AY17+AZ17)/BA17," - ")</f>
        <v>1.4135021097046414</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1593</v>
      </c>
      <c r="J18" s="188">
        <f t="shared" si="15"/>
        <v>2496</v>
      </c>
      <c r="K18" s="188">
        <f t="shared" si="15"/>
        <v>2442</v>
      </c>
      <c r="L18" s="188">
        <f t="shared" si="15"/>
        <v>1721</v>
      </c>
      <c r="M18" s="188">
        <f t="shared" si="15"/>
        <v>444</v>
      </c>
      <c r="N18" s="188">
        <f t="shared" si="15"/>
        <v>1409</v>
      </c>
      <c r="O18" s="188">
        <f t="shared" si="15"/>
        <v>124</v>
      </c>
      <c r="P18" s="188">
        <f t="shared" si="15"/>
        <v>125</v>
      </c>
      <c r="Q18" s="188">
        <f t="shared" si="15"/>
        <v>139</v>
      </c>
      <c r="R18" s="188">
        <f t="shared" si="15"/>
        <v>373</v>
      </c>
      <c r="S18" s="188">
        <f t="shared" si="15"/>
        <v>1309</v>
      </c>
      <c r="T18" s="188">
        <f t="shared" si="15"/>
        <v>2404</v>
      </c>
      <c r="U18" s="188">
        <f t="shared" si="15"/>
        <v>2501</v>
      </c>
      <c r="V18" s="188">
        <f t="shared" si="15"/>
        <v>1246</v>
      </c>
      <c r="W18" s="188">
        <f t="shared" si="15"/>
        <v>509</v>
      </c>
      <c r="X18" s="188">
        <f t="shared" si="15"/>
        <v>1260</v>
      </c>
      <c r="Y18" s="188">
        <f t="shared" si="15"/>
        <v>0</v>
      </c>
      <c r="Z18" s="188">
        <f t="shared" si="15"/>
        <v>0</v>
      </c>
      <c r="AA18" s="188">
        <f t="shared" si="15"/>
        <v>0</v>
      </c>
      <c r="AB18" s="188">
        <f t="shared" si="15"/>
        <v>0</v>
      </c>
      <c r="AC18" s="188">
        <f t="shared" si="15"/>
        <v>0</v>
      </c>
      <c r="AD18" s="188">
        <f t="shared" si="15"/>
        <v>13</v>
      </c>
      <c r="AE18" s="188">
        <f t="shared" si="15"/>
        <v>13</v>
      </c>
      <c r="AF18" s="188">
        <f t="shared" si="15"/>
        <v>0</v>
      </c>
      <c r="AG18" s="188">
        <f t="shared" si="15"/>
        <v>0</v>
      </c>
      <c r="AH18" s="188">
        <f t="shared" si="15"/>
        <v>0</v>
      </c>
      <c r="AI18" s="188">
        <f t="shared" si="15"/>
        <v>0</v>
      </c>
      <c r="AJ18" s="188">
        <f t="shared" si="15"/>
        <v>0</v>
      </c>
      <c r="AK18" s="188">
        <f t="shared" si="15"/>
        <v>0</v>
      </c>
      <c r="AL18" s="188">
        <f t="shared" si="15"/>
        <v>31</v>
      </c>
      <c r="AM18" s="188">
        <f t="shared" si="15"/>
        <v>31</v>
      </c>
      <c r="AN18" s="188">
        <f t="shared" si="15"/>
        <v>0</v>
      </c>
      <c r="AO18" s="188">
        <f t="shared" si="15"/>
        <v>4</v>
      </c>
      <c r="AP18" s="188">
        <f t="shared" si="15"/>
        <v>4</v>
      </c>
      <c r="AQ18" s="188">
        <f t="shared" si="15"/>
        <v>4</v>
      </c>
      <c r="AR18" s="188">
        <f t="shared" si="15"/>
        <v>4</v>
      </c>
      <c r="AS18" s="188">
        <f t="shared" si="15"/>
        <v>0</v>
      </c>
      <c r="AT18" s="188">
        <f t="shared" si="15"/>
        <v>0</v>
      </c>
      <c r="AU18" s="208"/>
      <c r="AV18" s="133"/>
      <c r="AW18" s="208"/>
      <c r="AX18" s="133"/>
      <c r="AY18" s="188">
        <f>SUBTOTAL(9,AY14:AY17)</f>
        <v>1309</v>
      </c>
      <c r="AZ18" s="188">
        <f>SUBTOTAL(9,AZ14:AZ17)</f>
        <v>2404</v>
      </c>
      <c r="BA18" s="188">
        <f>SUBTOTAL(9,BA14:BA17)</f>
        <v>2501</v>
      </c>
      <c r="BB18" s="188">
        <f>SUBTOTAL(9,BB14:BB17)</f>
        <v>1246</v>
      </c>
      <c r="BC18" s="188">
        <f>SUBTOTAL(9,BC14:BC17)</f>
        <v>509</v>
      </c>
      <c r="BD18" s="209">
        <f>IF(ISNUMBER(BA18/AZ18),BA18/AZ18," - ")</f>
        <v>1.0403494176372712</v>
      </c>
      <c r="BE18" s="210">
        <f>IF(ISNUMBER(BB18/BA18),BB18/BA18, " - ")</f>
        <v>0.49820071971211516</v>
      </c>
      <c r="BF18" s="210">
        <f>IF(ISNUMBER(BC18/BA18),BC18/BA18, " - ")</f>
        <v>0.2035185925629748</v>
      </c>
      <c r="BG18" s="211">
        <f>IF(ISNUMBER((AY18+AZ18)/BA18),(AY18+AZ18)/BA18," - ")</f>
        <v>1.4846061575369851</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6032</v>
      </c>
      <c r="J19" s="135">
        <f t="shared" si="18"/>
        <v>5180</v>
      </c>
      <c r="K19" s="135">
        <f t="shared" si="18"/>
        <v>5149</v>
      </c>
      <c r="L19" s="135">
        <f t="shared" si="18"/>
        <v>6109</v>
      </c>
      <c r="M19" s="135">
        <f t="shared" si="18"/>
        <v>912</v>
      </c>
      <c r="N19" s="135">
        <f t="shared" si="18"/>
        <v>2503</v>
      </c>
      <c r="O19" s="135">
        <f t="shared" si="18"/>
        <v>1989</v>
      </c>
      <c r="P19" s="135">
        <f t="shared" si="18"/>
        <v>631</v>
      </c>
      <c r="Q19" s="135">
        <f t="shared" si="18"/>
        <v>745</v>
      </c>
      <c r="R19" s="135">
        <f t="shared" si="18"/>
        <v>8741</v>
      </c>
      <c r="S19" s="135">
        <f t="shared" si="18"/>
        <v>5275</v>
      </c>
      <c r="T19" s="135">
        <f t="shared" si="18"/>
        <v>4687</v>
      </c>
      <c r="U19" s="135">
        <f t="shared" si="18"/>
        <v>4758</v>
      </c>
      <c r="V19" s="135">
        <f t="shared" si="18"/>
        <v>5238</v>
      </c>
      <c r="W19" s="135">
        <f t="shared" si="18"/>
        <v>991</v>
      </c>
      <c r="X19" s="135">
        <f t="shared" si="18"/>
        <v>2183</v>
      </c>
      <c r="Y19" s="135">
        <f t="shared" si="18"/>
        <v>246</v>
      </c>
      <c r="Z19" s="135">
        <f t="shared" si="18"/>
        <v>203</v>
      </c>
      <c r="AA19" s="135">
        <f t="shared" si="18"/>
        <v>215</v>
      </c>
      <c r="AB19" s="135">
        <f t="shared" si="18"/>
        <v>260</v>
      </c>
      <c r="AC19" s="135">
        <f t="shared" si="18"/>
        <v>0</v>
      </c>
      <c r="AD19" s="135">
        <f t="shared" si="18"/>
        <v>13</v>
      </c>
      <c r="AE19" s="135">
        <f t="shared" si="18"/>
        <v>13</v>
      </c>
      <c r="AF19" s="135">
        <f t="shared" si="18"/>
        <v>0</v>
      </c>
      <c r="AG19" s="135">
        <f t="shared" si="18"/>
        <v>239</v>
      </c>
      <c r="AH19" s="135">
        <f t="shared" si="18"/>
        <v>226</v>
      </c>
      <c r="AI19" s="135">
        <f t="shared" si="18"/>
        <v>239</v>
      </c>
      <c r="AJ19" s="135">
        <f t="shared" si="18"/>
        <v>226</v>
      </c>
      <c r="AK19" s="135">
        <f t="shared" si="18"/>
        <v>0</v>
      </c>
      <c r="AL19" s="135">
        <f t="shared" si="18"/>
        <v>31</v>
      </c>
      <c r="AM19" s="135">
        <f t="shared" si="18"/>
        <v>31</v>
      </c>
      <c r="AN19" s="214">
        <f t="shared" si="18"/>
        <v>0</v>
      </c>
      <c r="AO19" s="215">
        <v>10</v>
      </c>
      <c r="AP19" s="215">
        <v>10</v>
      </c>
      <c r="AQ19" s="215">
        <v>10</v>
      </c>
      <c r="AR19" s="215">
        <v>10</v>
      </c>
      <c r="AS19" s="157">
        <f t="shared" si="18"/>
        <v>0</v>
      </c>
      <c r="AT19" s="157">
        <f t="shared" si="18"/>
        <v>0</v>
      </c>
      <c r="AU19" s="215"/>
      <c r="AV19" s="216"/>
      <c r="AW19" s="215"/>
      <c r="AX19" s="216"/>
      <c r="AY19" s="134">
        <f>SUBTOTAL(9,AY9:AY18)</f>
        <v>5514</v>
      </c>
      <c r="AZ19" s="135">
        <f>SUBTOTAL(9,AZ9:AZ18)</f>
        <v>4913</v>
      </c>
      <c r="BA19" s="135">
        <f>SUBTOTAL(9,BA9:BA18)</f>
        <v>4997</v>
      </c>
      <c r="BB19" s="135">
        <f>SUBTOTAL(9,BB9:BB18)</f>
        <v>5464</v>
      </c>
      <c r="BC19" s="136">
        <f>SUBTOTAL(9,BC9:BC18)</f>
        <v>1429</v>
      </c>
      <c r="BD19" s="217">
        <f>IF(ISNUMBER(BA19/AZ19),BA19/AZ19," - ")</f>
        <v>1.0170974964380215</v>
      </c>
      <c r="BE19" s="214">
        <f>IF(ISNUMBER(BB19/BA19),BB19/BA19, " - ")</f>
        <v>1.0934560736441865</v>
      </c>
      <c r="BF19" s="214">
        <f>IF(ISNUMBER(BC19/BA19),BC19/BA19, " - ")</f>
        <v>0.28597158294976988</v>
      </c>
      <c r="BG19" s="136">
        <f>IF(ISNUMBER((AY19+AZ19)/BA19),(AY19+AZ19)/BA19," - ")</f>
        <v>2.0866519911947168</v>
      </c>
      <c r="BH19" s="215">
        <f>SUBTOTAL(9,BH9:BH18)</f>
        <v>11</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Z4qe73+lpFxWsXoGm779l/zlxd384CzmbIsbfkPurCYmgqjD6sWzMZC9QNt7N5dT2m31wsiiSTgOql5M+gesVg==" saltValue="IquuYAhcOna4iYlrTKiEe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3H7UWgVaUFD2YsacTxGbhwqaOUqRfntcaAlroyCVPulOUhsquLfEOqcnQn6m8gt6202qu00g7RFGOMhTAOjy1A==" saltValue="gB0NG37EKcLoVuvM9Rwj3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COMUNIDAD VALENCIANA</v>
      </c>
      <c r="F1" s="531"/>
    </row>
    <row r="2" spans="1:74" ht="16.5" customHeight="1">
      <c r="C2" s="520" t="str">
        <f>Criterios!A10 &amp;"  "&amp;Criterios!B10 &amp; "  " &amp; IF(NOT(ISBLANK(Criterios!A11)),Criterios!A11 &amp;"  "&amp;Criterios!B11,"")</f>
        <v>Provincias  VALENCIA  Resumenes por Partidos Judiciales  GANDIA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6</v>
      </c>
      <c r="B9" s="652" t="s">
        <v>249</v>
      </c>
      <c r="C9" s="670" t="str">
        <f>Datos!A9</f>
        <v xml:space="preserve">Jdos. 1ª Instancia   </v>
      </c>
      <c r="D9" s="543"/>
      <c r="E9" s="669">
        <f>IF(ISNUMBER(Datos!AQ9),Datos!AQ9," - ")</f>
        <v>6</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203</v>
      </c>
      <c r="O9" s="503"/>
      <c r="P9" s="503"/>
      <c r="Q9" s="501">
        <f>IF(ISNUMBER(Datos!P9),Datos!P9,0)</f>
        <v>499</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600</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260</v>
      </c>
      <c r="AI9" s="503" t="str">
        <f>IF(ISNUMBER(Datos!CD9),Datos!CD9,"-")</f>
        <v>-</v>
      </c>
      <c r="AJ9" s="503" t="str">
        <f>IF(ISNUMBER(Datos!EN9),Datos!EN9," - ")</f>
        <v xml:space="preserve"> - </v>
      </c>
      <c r="AK9" s="503"/>
      <c r="AL9" s="504"/>
      <c r="AM9" s="671">
        <f>IF(ISNUMBER(Datos!R9),Datos!R9," - ")</f>
        <v>8022</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460</v>
      </c>
      <c r="BD9" s="619">
        <f>IF(ISNUMBER(Datos!N9),Datos!N9," - ")</f>
        <v>1086</v>
      </c>
      <c r="BE9" s="619" t="str">
        <f>IF(ISNUMBER(Datos!BW9),Datos!BW9," - ")</f>
        <v xml:space="preserve"> - </v>
      </c>
      <c r="BF9" s="667" t="str">
        <f>IF(ISNUMBER(Datos!BX9),Datos!BX9," - ")</f>
        <v xml:space="preserve"> - </v>
      </c>
      <c r="BG9" s="668">
        <f>IF(ISNUMBER(IF(J_V="SI",Datos!K9/Datos!J9,(Datos!K9+Datos!AA9)/(Datos!J9+Datos!Z9))),IF(J_V="SI",Datos!K9/Datos!J9,(Datos!K9+Datos!AA9)/(Datos!J9+Datos!Z9))," - ")</f>
        <v>1.0160895417978315</v>
      </c>
      <c r="BH9" s="669">
        <f>IF(ISNUMBER(((IF(J_V="SI",Datos!L9/Datos!K9,(Datos!L9+Datos!AB9)/(Datos!K9+Datos!AA9)))*11)/factor_trimestre),((IF(J_V="SI",Datos!L9/Datos!K9,(Datos!L9+Datos!AB9)/(Datos!K9+Datos!AA9)))*11)/factor_trimestre," - ")</f>
        <v>4.7060240963855424</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-1.2433829865813123E-2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1</v>
      </c>
      <c r="F10" s="506">
        <f>IF(ISNUMBER(Datos!L10+Datos!K10-Datos!J10),Datos!L10+Datos!K10-Datos!J10," - ")</f>
        <v>80</v>
      </c>
      <c r="G10" s="497">
        <f>IF(ISNUMBER(Datos!I10),Datos!I10," - ")</f>
        <v>80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7</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17</v>
      </c>
      <c r="AC10" s="501">
        <f>IF(ISNUMBER(Datos!Q10),Datos!Q10," - ")</f>
        <v>6</v>
      </c>
      <c r="AD10" s="503"/>
      <c r="AE10" s="516"/>
      <c r="AF10" s="505">
        <f>IF(ISNUMBER(Datos!L10),Datos!L10,"-")</f>
        <v>91</v>
      </c>
      <c r="AG10" s="503"/>
      <c r="AH10" s="503"/>
      <c r="AI10" s="503"/>
      <c r="AJ10" s="503"/>
      <c r="AK10" s="503"/>
      <c r="AL10" s="504"/>
      <c r="AM10" s="671">
        <f>IF(ISNUMBER(Datos!R10),Datos!R10," - ")</f>
        <v>67</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8</v>
      </c>
      <c r="BD10" s="619">
        <f>IF(ISNUMBER(Datos!N10),Datos!N10," - ")</f>
        <v>8</v>
      </c>
      <c r="BE10" s="619" t="str">
        <f>IF(ISNUMBER(Datos!BW10),Datos!BW10," - ")</f>
        <v xml:space="preserve"> - </v>
      </c>
      <c r="BF10" s="667" t="str">
        <f>IF(ISNUMBER(Datos!BX10),Datos!BX10," - ")</f>
        <v xml:space="preserve"> - </v>
      </c>
      <c r="BG10" s="668">
        <f>IF(ISNUMBER(Datos!K10/Datos!J10),Datos!K10/Datos!J10," - ")</f>
        <v>0.6071428571428571</v>
      </c>
      <c r="BH10" s="669">
        <f>IF(ISNUMBER(((Datos!L10/Datos!K10)*11)/factor_trimestre),((Datos!L10/Datos!K10)*11)/factor_trimestre," - ")</f>
        <v>16.058823529411764</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1.5151515151515152E-2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0</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0</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0</v>
      </c>
      <c r="AI12" s="503" t="str">
        <f>IF(ISNUMBER(Datos!CD12),Datos!CD12,"-")</f>
        <v>-</v>
      </c>
      <c r="AJ12" s="503" t="str">
        <f>IF(ISNUMBER(Datos!EN12),Datos!EN12," - ")</f>
        <v xml:space="preserve"> - </v>
      </c>
      <c r="AK12" s="503"/>
      <c r="AL12" s="504"/>
      <c r="AM12" s="671">
        <f>IF(ISNUMBER(Datos!R12),Datos!R12," - ")</f>
        <v>279</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0</v>
      </c>
      <c r="BD12" s="619">
        <f>IF(ISNUMBER(Datos!N12),Datos!N12," - ")</f>
        <v>0</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0</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7</v>
      </c>
      <c r="F13" s="1044">
        <f t="shared" si="0"/>
        <v>80</v>
      </c>
      <c r="G13" s="1044">
        <f t="shared" si="0"/>
        <v>80</v>
      </c>
      <c r="H13" s="1045">
        <f t="shared" si="0"/>
        <v>0</v>
      </c>
      <c r="I13" s="1044">
        <f t="shared" si="0"/>
        <v>0</v>
      </c>
      <c r="J13" s="1013">
        <f t="shared" si="0"/>
        <v>0</v>
      </c>
      <c r="K13" s="1013">
        <f t="shared" si="0"/>
        <v>0</v>
      </c>
      <c r="L13" s="1045">
        <f t="shared" si="0"/>
        <v>0</v>
      </c>
      <c r="M13" s="1045">
        <f t="shared" si="0"/>
        <v>0</v>
      </c>
      <c r="N13" s="1045">
        <f t="shared" si="0"/>
        <v>203</v>
      </c>
      <c r="O13" s="1046">
        <f t="shared" si="0"/>
        <v>0</v>
      </c>
      <c r="P13" s="1046">
        <f t="shared" si="0"/>
        <v>0</v>
      </c>
      <c r="Q13" s="1045">
        <f t="shared" si="0"/>
        <v>506</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17</v>
      </c>
      <c r="AC13" s="1045">
        <f t="shared" si="1"/>
        <v>606</v>
      </c>
      <c r="AD13" s="1045">
        <f t="shared" si="1"/>
        <v>0</v>
      </c>
      <c r="AE13" s="1045">
        <f t="shared" si="1"/>
        <v>0</v>
      </c>
      <c r="AF13" s="1045">
        <f t="shared" si="1"/>
        <v>91</v>
      </c>
      <c r="AG13" s="1045">
        <f t="shared" si="1"/>
        <v>0</v>
      </c>
      <c r="AH13" s="1045">
        <f t="shared" si="1"/>
        <v>260</v>
      </c>
      <c r="AI13" s="1045">
        <f t="shared" si="1"/>
        <v>0</v>
      </c>
      <c r="AJ13" s="1045">
        <f t="shared" si="1"/>
        <v>0</v>
      </c>
      <c r="AK13" s="1045">
        <f t="shared" si="1"/>
        <v>0</v>
      </c>
      <c r="AL13" s="1045">
        <f t="shared" si="1"/>
        <v>0</v>
      </c>
      <c r="AM13" s="1045">
        <f t="shared" si="1"/>
        <v>8368</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468</v>
      </c>
      <c r="BD13" s="1045">
        <f t="shared" si="1"/>
        <v>1094</v>
      </c>
      <c r="BE13" s="1045">
        <f t="shared" si="1"/>
        <v>0</v>
      </c>
      <c r="BF13" s="1045">
        <f t="shared" si="1"/>
        <v>0</v>
      </c>
      <c r="BG13" s="1045">
        <f>IF(ISNUMBER(Datos!K13/Datos!J13),Datos!K13/Datos!J13," - ")</f>
        <v>1.0085692995529061</v>
      </c>
      <c r="BH13" s="1049">
        <f>IF(ISNUMBER(((Datos!L13/Datos!K13)*11)/factor_trimestre),((Datos!L13/Datos!K13)*11)/factor_trimestre," - ")</f>
        <v>4.862947912818619</v>
      </c>
      <c r="BI13" s="1045">
        <f>IF(ISNUMBER('Resol  Asuntos'!D13/NºAsuntos!G13),'Resol  Asuntos'!D13/NºAsuntos!G13," - ")</f>
        <v>0.16016427104722791</v>
      </c>
      <c r="BJ13" s="1045" t="str">
        <f>IF(ISNUMBER(Datos!CI13/Datos!CJ13),Datos!CI13/Datos!CJ13," - ")</f>
        <v xml:space="preserve"> - </v>
      </c>
      <c r="BK13" s="1045">
        <f>SUBTOTAL(9,BK8:BK12)</f>
        <v>0</v>
      </c>
      <c r="BL13" s="1045">
        <f>IF(ISNUMBER((I13-AB13+L13)/(F13)),(I13-AB13+L13)/(F13)," - ")</f>
        <v>-0.21249999999999999</v>
      </c>
      <c r="BM13" s="1050">
        <f>SUBTOTAL(9,BM9:BM12)</f>
        <v>2.7176852857020289E-3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3</v>
      </c>
      <c r="B15" s="646" t="s">
        <v>400</v>
      </c>
      <c r="C15" s="656" t="str">
        <f>Datos!A15</f>
        <v xml:space="preserve">Jdos. Instrucción                               </v>
      </c>
      <c r="D15" s="657"/>
      <c r="E15" s="1330">
        <f>IF(ISNUMBER(Datos!AQ15),Datos!AQ15," - ")</f>
        <v>3</v>
      </c>
      <c r="F15" s="647">
        <f>IF(ISNUMBER(AF15+AB15-Datos!J15-L15),AF15+AB15-Datos!J15-L15," - ")</f>
        <v>1567</v>
      </c>
      <c r="G15" s="650">
        <f>IF(ISNUMBER(IF(D_I="SI",Datos!I15,Datos!I15+Datos!AC15)),IF(D_I="SI",Datos!I15,Datos!I15+Datos!AC15)," - ")</f>
        <v>1493</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111</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2204</v>
      </c>
      <c r="AC15" s="230">
        <f>IF(ISNUMBER(Datos!Q15),Datos!Q15," - ")</f>
        <v>125</v>
      </c>
      <c r="AD15" s="343"/>
      <c r="AE15" s="515"/>
      <c r="AF15" s="648">
        <f>IF(ISNUMBER(IF(D_I="SI",Datos!L15,Datos!L15+Datos!AF15)),IF(D_I="SI",Datos!L15,Datos!L15+Datos!AF15)," - ")</f>
        <v>1621</v>
      </c>
      <c r="AG15" s="343"/>
      <c r="AH15" s="343"/>
      <c r="AI15" s="343"/>
      <c r="AJ15" s="503"/>
      <c r="AK15" s="343"/>
      <c r="AL15" s="499"/>
      <c r="AM15" s="344">
        <f>IF(ISNUMBER(Datos!R15),Datos!R15," - ")</f>
        <v>347</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378</v>
      </c>
      <c r="BD15" s="233">
        <f>IF(ISNUMBER(Datos!N15),Datos!N15," - ")</f>
        <v>1234</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0.97608503100088573</v>
      </c>
      <c r="BH15" s="669">
        <f>IF(ISNUMBER(((IF(D_I="SI",Datos!L15/Datos!K15,(Datos!L15+Datos!AF15)/(Datos!K15+Datos!AE15)))*11)/factor_trimestre),((IF(D_I="SI",Datos!L15/Datos!K15,(Datos!L15+Datos!AF15)/(Datos!K15+Datos!AE15)))*11)/factor_trimestre," - ")</f>
        <v>2.2064428312159712</v>
      </c>
      <c r="BI15" s="247">
        <f>IF(ISNUMBER('Resol  Asuntos'!D15/NºAsuntos!G15),'Resol  Asuntos'!D15/NºAsuntos!G15," - ")</f>
        <v>0.17150635208711434</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100</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14</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238</v>
      </c>
      <c r="AC17" s="501">
        <f>IF(ISNUMBER(Datos!Q17),Datos!Q17," - ")</f>
        <v>14</v>
      </c>
      <c r="AD17" s="503"/>
      <c r="AE17" s="515"/>
      <c r="AF17" s="505">
        <f>IF(ISNUMBER(Datos!L17),Datos!L17,"-")</f>
        <v>100</v>
      </c>
      <c r="AG17" s="503"/>
      <c r="AH17" s="503"/>
      <c r="AI17" s="503"/>
      <c r="AJ17" s="503"/>
      <c r="AK17" s="503"/>
      <c r="AL17" s="504"/>
      <c r="AM17" s="671">
        <f>IF(ISNUMBER(Datos!R17),Datos!R17," - ")</f>
        <v>26</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66</v>
      </c>
      <c r="BD17" s="619">
        <f>IF(ISNUMBER(Datos!N17),Datos!N17," - ")</f>
        <v>175</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v>
      </c>
      <c r="BH17" s="669">
        <f>IF(ISNUMBER(((IF(D_I="SI",Datos!L17/Datos!K17,(Datos!L17+Datos!AF17)/(Datos!K17+Datos!AE17)))*11)/factor_trimestre),((IF(D_I="SI",Datos!L17/Datos!K17,(Datos!L17+Datos!AF17)/(Datos!K17+Datos!AE17)))*11)/factor_trimestre," - ")</f>
        <v>1.2605042016806725</v>
      </c>
      <c r="BI17" s="668">
        <f>IF(ISNUMBER('Resol  Asuntos'!D17/NºAsuntos!G17),'Resol  Asuntos'!D17/NºAsuntos!G17," - ")</f>
        <v>0.27731092436974791</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4</v>
      </c>
      <c r="F18" s="1044">
        <f>SUBTOTAL(9,F15:F17)</f>
        <v>1567</v>
      </c>
      <c r="G18" s="1044">
        <f>SUBTOTAL(9,G15:G17)</f>
        <v>1593</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125</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2442</v>
      </c>
      <c r="AC18" s="1045">
        <f t="shared" si="4"/>
        <v>139</v>
      </c>
      <c r="AD18" s="1045">
        <f t="shared" si="4"/>
        <v>0</v>
      </c>
      <c r="AE18" s="1045">
        <f t="shared" si="4"/>
        <v>0</v>
      </c>
      <c r="AF18" s="1045">
        <f t="shared" si="4"/>
        <v>1721</v>
      </c>
      <c r="AG18" s="1045">
        <f t="shared" si="4"/>
        <v>0</v>
      </c>
      <c r="AH18" s="1045">
        <f t="shared" si="4"/>
        <v>0</v>
      </c>
      <c r="AI18" s="1045">
        <f t="shared" si="4"/>
        <v>0</v>
      </c>
      <c r="AJ18" s="1045">
        <f t="shared" si="4"/>
        <v>0</v>
      </c>
      <c r="AK18" s="1045">
        <f t="shared" si="4"/>
        <v>0</v>
      </c>
      <c r="AL18" s="1045">
        <f t="shared" si="4"/>
        <v>0</v>
      </c>
      <c r="AM18" s="1045">
        <f t="shared" si="4"/>
        <v>373</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444</v>
      </c>
      <c r="BD18" s="1045">
        <f t="shared" si="4"/>
        <v>1409</v>
      </c>
      <c r="BE18" s="1045">
        <f t="shared" si="4"/>
        <v>0</v>
      </c>
      <c r="BF18" s="1045">
        <f t="shared" si="4"/>
        <v>0</v>
      </c>
      <c r="BG18" s="1045">
        <f>IF(ISNUMBER(Datos!K18/Datos!J18),Datos!K18/Datos!J18," - ")</f>
        <v>0.97836538461538458</v>
      </c>
      <c r="BH18" s="1049">
        <f>IF(ISNUMBER(((Datos!L18/Datos!K18)*11)/factor_trimestre),((Datos!L18/Datos!K18)*11)/factor_trimestre," - ")</f>
        <v>2.1142506142506146</v>
      </c>
      <c r="BI18" s="1045">
        <f>SUBTOTAL(9,BI15:BI17)</f>
        <v>0.44881727645686226</v>
      </c>
      <c r="BJ18" s="1045">
        <f>SUBTOTAL(9,BJ15:BJ17)</f>
        <v>0</v>
      </c>
      <c r="BK18" s="1045">
        <f>SUBTOTAL(9,BK15:BK17)</f>
        <v>0</v>
      </c>
      <c r="BL18" s="1045">
        <f>IF(ISNUMBER((I18-AB18+L18)/(F18)),(I18-AB18+L18)/(F18)," - ")</f>
        <v>-1.5583918315252074</v>
      </c>
      <c r="BM18" s="1051">
        <f>IF(ISNUMBER((Datos!P18-Datos!Q18)/(Datos!R18-Datos!P18+Datos!Q18)),(Datos!P18-Datos!Q18)/(Datos!R18-Datos!P18+Datos!Q18)," - ")</f>
        <v>-3.6175710594315243E-2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11</v>
      </c>
      <c r="F19" s="966">
        <f t="shared" si="6"/>
        <v>1647</v>
      </c>
      <c r="G19" s="966">
        <f t="shared" si="6"/>
        <v>1673</v>
      </c>
      <c r="H19" s="968">
        <f t="shared" si="6"/>
        <v>0</v>
      </c>
      <c r="I19" s="966">
        <f t="shared" si="6"/>
        <v>0</v>
      </c>
      <c r="J19" s="968">
        <f t="shared" si="6"/>
        <v>0</v>
      </c>
      <c r="K19" s="968">
        <f t="shared" si="6"/>
        <v>0</v>
      </c>
      <c r="L19" s="1027">
        <f t="shared" si="6"/>
        <v>0</v>
      </c>
      <c r="M19" s="1027">
        <f t="shared" si="6"/>
        <v>0</v>
      </c>
      <c r="N19" s="1027">
        <f t="shared" si="6"/>
        <v>203</v>
      </c>
      <c r="O19" s="1027">
        <f t="shared" si="6"/>
        <v>0</v>
      </c>
      <c r="P19" s="1027">
        <f t="shared" si="6"/>
        <v>0</v>
      </c>
      <c r="Q19" s="968">
        <f t="shared" si="6"/>
        <v>631</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2459</v>
      </c>
      <c r="AC19" s="967">
        <f t="shared" si="7"/>
        <v>745</v>
      </c>
      <c r="AD19" s="967">
        <f t="shared" si="7"/>
        <v>0</v>
      </c>
      <c r="AE19" s="967">
        <f t="shared" si="7"/>
        <v>0</v>
      </c>
      <c r="AF19" s="974">
        <f t="shared" si="7"/>
        <v>1812</v>
      </c>
      <c r="AG19" s="974">
        <f t="shared" si="7"/>
        <v>0</v>
      </c>
      <c r="AH19" s="974">
        <f t="shared" si="7"/>
        <v>260</v>
      </c>
      <c r="AI19" s="974">
        <f t="shared" si="7"/>
        <v>0</v>
      </c>
      <c r="AJ19" s="967">
        <f t="shared" si="7"/>
        <v>0</v>
      </c>
      <c r="AK19" s="974">
        <f t="shared" si="7"/>
        <v>0</v>
      </c>
      <c r="AL19" s="974">
        <f t="shared" si="7"/>
        <v>0</v>
      </c>
      <c r="AM19" s="974">
        <f t="shared" si="7"/>
        <v>8741</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912</v>
      </c>
      <c r="BD19" s="966">
        <f t="shared" si="7"/>
        <v>2503</v>
      </c>
      <c r="BE19" s="966">
        <f t="shared" si="7"/>
        <v>0</v>
      </c>
      <c r="BF19" s="976">
        <f t="shared" si="7"/>
        <v>0</v>
      </c>
      <c r="BG19" s="1061">
        <f>IF(ISNUMBER(Datos!K19/Datos!J19),Datos!K19/Datos!J19," - ")</f>
        <v>0.99401544401544406</v>
      </c>
      <c r="BH19" s="1061">
        <f>IF(ISNUMBER(((Datos!L19/Datos!K19)*11)/factor_trimestre),((Datos!L19/Datos!K19)*11)/factor_trimestre," - ")</f>
        <v>3.5593319091085647</v>
      </c>
      <c r="BI19" s="959">
        <f>IF(ISNUMBER(Datos!J19/Datos!I19),Datos!J19/Datos!I19," - ")</f>
        <v>0.85875331564986734</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-1.4930176077717061</v>
      </c>
      <c r="BM19" s="1035">
        <f>IF(ISNUMBER((Datos!P19-Datos!Q19+R19)/(Datos!R19-Datos!P19+Datos!Q19-R19)),(Datos!P19-Datos!Q19+R19)/(Datos!R19-Datos!P19+Datos!Q19-R19)," - ")</f>
        <v>-1.2874082439299831E-2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669.2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2.6977356760397742</v>
      </c>
      <c r="F21" s="599">
        <f>IF(ISNUMBER(STDEV(F8:F18)),STDEV(F8:F18),"-")</f>
        <v>858.51985028497359</v>
      </c>
      <c r="G21" s="600">
        <f>IF(ISNUMBER(STDEV(G8:G18)),STDEV(G8:G18),"-")</f>
        <v>798.49151529618644</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1228.9077670842512</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223.52543266397907</v>
      </c>
      <c r="BD21" s="599"/>
      <c r="BE21" s="599">
        <f>IF(ISNUMBER(STDEV(BE8:BE18)),STDEV(BE8:BE18),"-")</f>
        <v>0</v>
      </c>
      <c r="BF21" s="604">
        <f>IF(ISNUMBER(STDEV(BF8:BF18)),STDEV(BF8:BF18),"-")</f>
        <v>0</v>
      </c>
      <c r="BG21" s="914">
        <f>IF(ISNUMBER(STDEV(BG8:BG18)),STDEV(BG8:BG18),"-")</f>
        <v>0.15948529990103383</v>
      </c>
      <c r="BH21" s="918">
        <f>IF(ISNUMBER(STDEV(BH8:BH18)),STDEV(BH8:BH18),"-")</f>
        <v>5.5185960570705523</v>
      </c>
      <c r="BI21" s="253">
        <f>IF(ISNUMBER(STDEV(BI8:BI18)),STDEV(BI8:BI18),"-")</f>
        <v>0.13375441544610178</v>
      </c>
      <c r="BJ21" s="234" t="str">
        <f>IF(ISNUMBER(BL21/BM21),BL21/BM21," - ")</f>
        <v xml:space="preserve"> - </v>
      </c>
      <c r="BK21" s="626"/>
      <c r="BL21" s="607">
        <f>IF(ISNUMBER(STDEV(BL8:BL18)),STDEV(BL8:BL18),"-")</f>
        <v>0.95168924081505657</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u1qSIXt/hfLVNSfZNmvWYNB9OIaM8w9hpBKEJcbinQly0iTVFuS+/Ik77HUAOE82MaMrAq+yxQfOUmOrZ17mTQ==" saltValue="0cOOedY8a7A0FokipOGs2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COMUNIDAD VALENCIANA</v>
      </c>
    </row>
    <row r="2" spans="1:73" ht="16.5" customHeight="1">
      <c r="C2" s="574" t="str">
        <f>Criterios!A10 &amp;"  "&amp;Criterios!B10 &amp; "  " &amp; IF(NOT(ISBLANK(Criterios!A11)),Criterios!A11 &amp;"  "&amp;Criterios!B11,"")</f>
        <v>Provincias  VALENCIA  Resumenes por Partidos Judiciales  GANDIA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6</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499</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600</v>
      </c>
      <c r="AA9" s="505" t="str">
        <f>IF(ISNUMBER(IF(J_V="SI",Datos!L9,Datos!L9+Datos!AB9)-IF(Monitorios="SI",Datos!CD9,0)),
                          IF(J_V="SI",Datos!L9,Datos!L9+Datos!AB9)-IF(Monitorios="SI",Datos!CD9,0),
                          " - ")</f>
        <v xml:space="preserve"> - </v>
      </c>
      <c r="AB9" s="503"/>
      <c r="AC9" s="503"/>
      <c r="AD9" s="516"/>
      <c r="AE9" s="516">
        <f>IF(ISNUMBER(Datos!R9),Datos!R9," - ")</f>
        <v>8022</v>
      </c>
      <c r="AF9" s="619" t="str">
        <f>IF(ISNUMBER(Datos!BV9),Datos!BV9," - ")</f>
        <v xml:space="preserve"> - </v>
      </c>
      <c r="AG9" s="506" t="str">
        <f>IF(ISNUMBER(Datos!DV9),Datos!DV9," - ")</f>
        <v xml:space="preserve"> - </v>
      </c>
      <c r="AH9" s="507"/>
      <c r="AI9" s="508"/>
      <c r="AJ9" s="506">
        <f>IF(ISNUMBER(Datos!M9),Datos!M9," - ")</f>
        <v>460</v>
      </c>
      <c r="AK9" s="619">
        <f>IF(ISNUMBER(Datos!N9),Datos!N9," - ")</f>
        <v>1086</v>
      </c>
      <c r="AL9" s="619" t="str">
        <f>IF(ISNUMBER(Datos!BW9),Datos!BW9," - ")</f>
        <v xml:space="preserve"> - </v>
      </c>
      <c r="AM9" s="667" t="str">
        <f>IF(ISNUMBER(Datos!BX9),Datos!BX9," - ")</f>
        <v xml:space="preserve"> - </v>
      </c>
      <c r="AN9" s="668"/>
      <c r="AO9" s="669">
        <f>IF(ISNUMBER(((NºAsuntos!I9/NºAsuntos!G9)*11)/factor_trimestre),((NºAsuntos!I9/NºAsuntos!G9)*11)/factor_trimestre," - ")</f>
        <v>4.7060240963855424</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-1.2433829865813123E-2</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1</v>
      </c>
      <c r="F10" s="506">
        <f>IF(ISNUMBER(Datos!L10+Datos!K10-Datos!J10),Datos!L10+Datos!K10-Datos!J10," - ")</f>
        <v>80</v>
      </c>
      <c r="G10" s="506">
        <f>IF(ISNUMBER(Datos!I10),Datos!I10," - ")</f>
        <v>80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7</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17</v>
      </c>
      <c r="Z10" s="703">
        <f>IF(ISNUMBER(Datos!Q10),Datos!Q10," - ")</f>
        <v>6</v>
      </c>
      <c r="AA10" s="505">
        <f>IF(ISNUMBER(Datos!L10),Datos!L10,"-")</f>
        <v>91</v>
      </c>
      <c r="AB10" s="503"/>
      <c r="AC10" s="503"/>
      <c r="AD10" s="516"/>
      <c r="AE10" s="516">
        <f>IF(ISNUMBER(Datos!R10),Datos!R10," - ")</f>
        <v>67</v>
      </c>
      <c r="AF10" s="619" t="str">
        <f>IF(ISNUMBER(Datos!BV10),Datos!BV10," - ")</f>
        <v xml:space="preserve"> - </v>
      </c>
      <c r="AG10" s="506" t="str">
        <f>IF(ISNUMBER(Datos!DV10),Datos!DV10," - ")</f>
        <v xml:space="preserve"> - </v>
      </c>
      <c r="AH10" s="507"/>
      <c r="AI10" s="508"/>
      <c r="AJ10" s="506">
        <f>IF(ISNUMBER(Datos!M10),Datos!M10," - ")</f>
        <v>8</v>
      </c>
      <c r="AK10" s="619">
        <f>IF(ISNUMBER(Datos!N10),Datos!N10," - ")</f>
        <v>8</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16.058823529411764</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1.5151515151515152E-2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0</v>
      </c>
      <c r="AA12" s="505" t="str">
        <f>IF(ISNUMBER(IF(J_V="SI",Datos!L12,Datos!L12+Datos!AB12)-IF(Monitorios="SI",Datos!CD12,0)),
                          IF(J_V="SI",Datos!L12,Datos!L12+Datos!AB12)-IF(Monitorios="SI",Datos!CD12,0),
                          " - ")</f>
        <v xml:space="preserve"> - </v>
      </c>
      <c r="AB12" s="503"/>
      <c r="AC12" s="503"/>
      <c r="AD12" s="516"/>
      <c r="AE12" s="516">
        <f>IF(ISNUMBER(Datos!R12),Datos!R12," - ")</f>
        <v>279</v>
      </c>
      <c r="AF12" s="619" t="str">
        <f>IF(ISNUMBER(Datos!BV12),Datos!BV12," - ")</f>
        <v xml:space="preserve"> - </v>
      </c>
      <c r="AG12" s="506" t="str">
        <f>IF(ISNUMBER(Datos!DV12),Datos!DV12," - ")</f>
        <v xml:space="preserve"> - </v>
      </c>
      <c r="AH12" s="507"/>
      <c r="AI12" s="508"/>
      <c r="AJ12" s="506">
        <f>IF(ISNUMBER(Datos!M12),Datos!M12," - ")</f>
        <v>0</v>
      </c>
      <c r="AK12" s="619">
        <f>IF(ISNUMBER(Datos!N12),Datos!N12," - ")</f>
        <v>0</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0</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7</v>
      </c>
      <c r="F13" s="1044">
        <f>SUBTOTAL(9,F8:F12)</f>
        <v>80</v>
      </c>
      <c r="G13" s="1044">
        <f>SUBTOTAL(9,G8:G12)</f>
        <v>80</v>
      </c>
      <c r="H13" s="1054"/>
      <c r="I13" s="1044">
        <f t="shared" ref="I13:N13" si="0">SUBTOTAL(9,I8:I12)</f>
        <v>0</v>
      </c>
      <c r="J13" s="1013">
        <f t="shared" si="0"/>
        <v>0</v>
      </c>
      <c r="K13" s="1054">
        <f t="shared" si="0"/>
        <v>0</v>
      </c>
      <c r="L13" s="1054">
        <f t="shared" si="0"/>
        <v>0</v>
      </c>
      <c r="M13" s="1054">
        <f t="shared" si="0"/>
        <v>0</v>
      </c>
      <c r="N13" s="1054">
        <f t="shared" si="0"/>
        <v>506</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17</v>
      </c>
      <c r="Z13" s="1053">
        <f t="shared" si="2"/>
        <v>606</v>
      </c>
      <c r="AA13" s="1046">
        <f t="shared" si="2"/>
        <v>91</v>
      </c>
      <c r="AB13" s="1046">
        <f t="shared" si="2"/>
        <v>0</v>
      </c>
      <c r="AC13" s="1046">
        <f t="shared" si="2"/>
        <v>0</v>
      </c>
      <c r="AD13" s="1046">
        <f t="shared" si="2"/>
        <v>0</v>
      </c>
      <c r="AE13" s="1046">
        <f t="shared" si="2"/>
        <v>8368</v>
      </c>
      <c r="AF13" s="1054">
        <f t="shared" si="2"/>
        <v>0</v>
      </c>
      <c r="AG13" s="1054">
        <f t="shared" si="2"/>
        <v>0</v>
      </c>
      <c r="AH13" s="1054">
        <f t="shared" si="2"/>
        <v>0</v>
      </c>
      <c r="AI13" s="1054">
        <f t="shared" si="2"/>
        <v>0</v>
      </c>
      <c r="AJ13" s="1054">
        <f t="shared" si="2"/>
        <v>468</v>
      </c>
      <c r="AK13" s="1054">
        <f t="shared" si="2"/>
        <v>1094</v>
      </c>
      <c r="AL13" s="1054">
        <f t="shared" si="2"/>
        <v>0</v>
      </c>
      <c r="AM13" s="1054">
        <f t="shared" si="2"/>
        <v>0</v>
      </c>
      <c r="AN13" s="1054">
        <f t="shared" si="2"/>
        <v>0</v>
      </c>
      <c r="AO13" s="1050">
        <f>IF(ISNUMBER(((NºAsuntos!I13/NºAsuntos!G13)*11)/factor_trimestre),((NºAsuntos!I13/NºAsuntos!G13)*11)/factor_trimestre," - ")</f>
        <v>4.7720739219712529</v>
      </c>
      <c r="AP13" s="1056" t="str">
        <f>IF(ISNUMBER(Datos!CI13/Datos!CJ13),Datos!CI13/Datos!CJ13," - ")</f>
        <v xml:space="preserve"> - </v>
      </c>
      <c r="AQ13" s="1074">
        <f t="shared" ref="AQ13:AV13" si="3">SUBTOTAL(9,AQ9:AQ12)</f>
        <v>0</v>
      </c>
      <c r="AR13" s="1074">
        <f t="shared" si="3"/>
        <v>2.7176852857020289E-3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3</v>
      </c>
      <c r="B15" s="653" t="s">
        <v>400</v>
      </c>
      <c r="C15" s="670" t="str">
        <f>Datos!A15</f>
        <v xml:space="preserve">Jdos. Instrucción                               </v>
      </c>
      <c r="D15" s="543"/>
      <c r="E15" s="1333">
        <f>IF(ISNUMBER(Datos!AQ15),Datos!AQ15," - ")</f>
        <v>3</v>
      </c>
      <c r="F15" s="497">
        <f>IF(ISNUMBER(AA15+Y15-Datos!J15-K15),AA15+Y15-Datos!J15-K15," - ")</f>
        <v>1567</v>
      </c>
      <c r="G15" s="506">
        <f>IF(ISNUMBER(IF(D_I="SI",Datos!I15,Datos!I15+Datos!AC15)),IF(D_I="SI",Datos!I15,Datos!I15+Datos!AC15)," - ")</f>
        <v>1493</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111</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2204</v>
      </c>
      <c r="Z15" s="703">
        <f>IF(ISNUMBER(Datos!Q15),Datos!Q15," - ")</f>
        <v>125</v>
      </c>
      <c r="AA15" s="505">
        <f>IF(ISNUMBER(IF(D_I="SI",Datos!L15,Datos!L15+Datos!AF15)),IF(D_I="SI",Datos!L15,Datos!L15+Datos!AF15)," - ")</f>
        <v>1621</v>
      </c>
      <c r="AB15" s="503"/>
      <c r="AC15" s="503"/>
      <c r="AD15" s="516"/>
      <c r="AE15" s="516">
        <f>IF(ISNUMBER(Datos!R15),Datos!R15," - ")</f>
        <v>347</v>
      </c>
      <c r="AF15" s="619" t="str">
        <f>IF(ISNUMBER(Datos!BV15),Datos!BV15," - ")</f>
        <v xml:space="preserve"> - </v>
      </c>
      <c r="AG15" s="506"/>
      <c r="AH15" s="507"/>
      <c r="AI15" s="508"/>
      <c r="AJ15" s="506">
        <f>IF(ISNUMBER(Datos!M15),Datos!M15," - ")</f>
        <v>378</v>
      </c>
      <c r="AK15" s="619">
        <f>IF(ISNUMBER(Datos!N15),Datos!N15," - ")</f>
        <v>1234</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2.2064428312159712</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100</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14</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238</v>
      </c>
      <c r="Z17" s="703">
        <f>IF(ISNUMBER(Datos!Q17),Datos!Q17," - ")</f>
        <v>14</v>
      </c>
      <c r="AA17" s="505">
        <f>IF(ISNUMBER(Datos!L17),Datos!L17,"-")</f>
        <v>100</v>
      </c>
      <c r="AB17" s="503"/>
      <c r="AC17" s="503"/>
      <c r="AD17" s="516"/>
      <c r="AE17" s="516">
        <f>IF(ISNUMBER(Datos!R17),Datos!R17," - ")</f>
        <v>26</v>
      </c>
      <c r="AF17" s="619" t="str">
        <f>IF(ISNUMBER(Datos!BV17),Datos!BV17," - ")</f>
        <v xml:space="preserve"> - </v>
      </c>
      <c r="AG17" s="506" t="str">
        <f>IF(ISNUMBER(Datos!DV17),Datos!DV17," - ")</f>
        <v xml:space="preserve"> - </v>
      </c>
      <c r="AH17" s="507"/>
      <c r="AI17" s="508"/>
      <c r="AJ17" s="506">
        <f>IF(ISNUMBER(Datos!M17),Datos!M17," - ")</f>
        <v>66</v>
      </c>
      <c r="AK17" s="619">
        <f>IF(ISNUMBER(Datos!N17),Datos!N17," - ")</f>
        <v>175</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1.2605042016806725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4</v>
      </c>
      <c r="F18" s="1044">
        <f>SUBTOTAL(9,F15:F17)</f>
        <v>1567</v>
      </c>
      <c r="G18" s="1044">
        <f>SUBTOTAL(9,G15:G17)</f>
        <v>1593</v>
      </c>
      <c r="H18" s="1078">
        <f>SUBTOTAL(9,H15:H17)</f>
        <v>0</v>
      </c>
      <c r="I18" s="1057">
        <f>SUBTOTAL(9,I15:I17)</f>
        <v>0</v>
      </c>
      <c r="J18" s="1013">
        <f>SUBTOTAL(9,J14:J17)</f>
        <v>0</v>
      </c>
      <c r="K18" s="1078">
        <f t="shared" ref="K18:S18" si="4">SUBTOTAL(9,K15:K17)</f>
        <v>0</v>
      </c>
      <c r="L18" s="1078">
        <f t="shared" si="4"/>
        <v>0</v>
      </c>
      <c r="M18" s="1078">
        <f t="shared" si="4"/>
        <v>0</v>
      </c>
      <c r="N18" s="1078">
        <f t="shared" si="4"/>
        <v>125</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2442</v>
      </c>
      <c r="Z18" s="1078">
        <f t="shared" si="5"/>
        <v>139</v>
      </c>
      <c r="AA18" s="1078">
        <f t="shared" si="5"/>
        <v>1721</v>
      </c>
      <c r="AB18" s="1078">
        <f t="shared" si="5"/>
        <v>0</v>
      </c>
      <c r="AC18" s="1078">
        <f t="shared" si="5"/>
        <v>0</v>
      </c>
      <c r="AD18" s="1078">
        <f t="shared" si="5"/>
        <v>0</v>
      </c>
      <c r="AE18" s="1078">
        <f t="shared" si="5"/>
        <v>373</v>
      </c>
      <c r="AF18" s="1078">
        <f t="shared" si="5"/>
        <v>0</v>
      </c>
      <c r="AG18" s="1078">
        <f t="shared" si="5"/>
        <v>0</v>
      </c>
      <c r="AH18" s="1078">
        <f t="shared" si="5"/>
        <v>0</v>
      </c>
      <c r="AI18" s="1078">
        <f t="shared" si="5"/>
        <v>0</v>
      </c>
      <c r="AJ18" s="1078">
        <f t="shared" si="5"/>
        <v>444</v>
      </c>
      <c r="AK18" s="1078">
        <f t="shared" si="5"/>
        <v>1409</v>
      </c>
      <c r="AL18" s="1078">
        <f t="shared" si="5"/>
        <v>0</v>
      </c>
      <c r="AM18" s="1078">
        <f t="shared" si="5"/>
        <v>0</v>
      </c>
      <c r="AN18" s="1078">
        <f t="shared" si="5"/>
        <v>0</v>
      </c>
      <c r="AO18" s="1080">
        <f>IF(ISNUMBER(((NºAsuntos!I18/NºAsuntos!G18)*11)/factor_trimestre),((NºAsuntos!I18/NºAsuntos!G18)*11)/factor_trimestre," - ")</f>
        <v>2.1142506142506146</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11</v>
      </c>
      <c r="F19" s="966">
        <f t="shared" si="7"/>
        <v>1647</v>
      </c>
      <c r="G19" s="966">
        <f t="shared" si="7"/>
        <v>1673</v>
      </c>
      <c r="H19" s="967">
        <f t="shared" si="7"/>
        <v>0</v>
      </c>
      <c r="I19" s="966">
        <f t="shared" si="7"/>
        <v>0</v>
      </c>
      <c r="J19" s="968">
        <f t="shared" si="7"/>
        <v>0</v>
      </c>
      <c r="K19" s="966">
        <f t="shared" si="7"/>
        <v>0</v>
      </c>
      <c r="L19" s="969">
        <f t="shared" si="7"/>
        <v>0</v>
      </c>
      <c r="M19" s="966">
        <f t="shared" si="7"/>
        <v>0</v>
      </c>
      <c r="N19" s="967">
        <f t="shared" si="7"/>
        <v>631</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2459</v>
      </c>
      <c r="Z19" s="973">
        <f t="shared" si="8"/>
        <v>745</v>
      </c>
      <c r="AA19" s="974">
        <f t="shared" si="8"/>
        <v>1812</v>
      </c>
      <c r="AB19" s="974">
        <f t="shared" si="8"/>
        <v>0</v>
      </c>
      <c r="AC19" s="974">
        <f t="shared" si="8"/>
        <v>0</v>
      </c>
      <c r="AD19" s="975">
        <f t="shared" si="8"/>
        <v>0</v>
      </c>
      <c r="AE19" s="975">
        <f t="shared" si="8"/>
        <v>8741</v>
      </c>
      <c r="AF19" s="976">
        <f t="shared" si="8"/>
        <v>0</v>
      </c>
      <c r="AG19" s="977">
        <f t="shared" si="8"/>
        <v>0</v>
      </c>
      <c r="AH19" s="978">
        <f t="shared" si="8"/>
        <v>0</v>
      </c>
      <c r="AI19" s="976">
        <f t="shared" si="8"/>
        <v>0</v>
      </c>
      <c r="AJ19" s="966">
        <f t="shared" si="8"/>
        <v>912</v>
      </c>
      <c r="AK19" s="966">
        <f t="shared" si="8"/>
        <v>2503</v>
      </c>
      <c r="AL19" s="966">
        <f t="shared" si="8"/>
        <v>0</v>
      </c>
      <c r="AM19" s="979">
        <f t="shared" si="8"/>
        <v>0</v>
      </c>
      <c r="AN19" s="969">
        <f>IF(ISNUMBER(Datos!K19/Datos!J19),Datos!K19/Datos!J19," - ")</f>
        <v>0.99401544401544406</v>
      </c>
      <c r="AO19" s="969">
        <f>IF(ISNUMBER(FIND("06",Criterios!A8,1)),(IF(ISNUMBER(((Datos!R19/Datos!Q19)*11)/factor_trimestre),((Datos!R19/Datos!Q19)*11)/factor_trimestre," - ")),(IF(ISNUMBER(((Datos!L19/Datos!K19)*11)/factor_trimestre),((Datos!L19/Datos!K19)*11)/factor_trimestre," - ")))</f>
        <v>3.5593319091085647</v>
      </c>
      <c r="AP19" s="980" t="str">
        <f>IF(ISNUMBER(Datos!CI19/Datos!CJ19),Datos!CI19/Datos!CJ19," - ")</f>
        <v xml:space="preserve"> - </v>
      </c>
      <c r="AQ19" s="980">
        <f>IF(OR(ISNUMBER(FIND("01",Criterios!A8,1)),ISNUMBER(FIND("02",Criterios!A8,1)),ISNUMBER(FIND("03",Criterios!A8,1)),ISNUMBER(FIND("04",Criterios!A8,1))),(J19-Y19+K19)/(F19-K19),(I19-Y19+K19)/(F19-K19))</f>
        <v>-1.4930176077717061</v>
      </c>
      <c r="AR19" s="980">
        <f>IF(ISNUMBER((Datos!P19-Datos!Q19+O19)/(Datos!R19-Datos!P19+Datos!Q19-O19)),(Datos!P19-Datos!Q19+O19)/(Datos!R19-Datos!P19+Datos!Q19-O19)," - ")</f>
        <v>-1.2874082439299831E-2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669.2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858.51985028497359</v>
      </c>
      <c r="G21" s="600">
        <f>IF(ISNUMBER(STDEV(G8:G18)),STDEV(G8:G18),"-")</f>
        <v>798.49151529618644</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223.52543266397907</v>
      </c>
      <c r="AK21" s="256"/>
      <c r="AL21" s="256">
        <f>IF(ISNUMBER(STDEV(AL8:AL18)),STDEV(AL8:AL18),"-")</f>
        <v>0</v>
      </c>
      <c r="AM21" s="258">
        <f>IF(ISNUMBER(STDEV(AM8:AM18)),STDEV(AM8:AM18),"-")</f>
        <v>0</v>
      </c>
      <c r="AN21" s="586">
        <f>IF(ISNUMBER(STDEV(AN8:AN18)),STDEV(AN8:AN18),"-")</f>
        <v>0</v>
      </c>
      <c r="AO21" s="587">
        <f>IF(ISNUMBER(STDEV(AO8:AO18)),STDEV(AO8:AO18),"-")</f>
        <v>5.5198355934372136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o0nctTq1vDIpz8gak9M08epr4RtoKpRqghquzOdgAVIaLYtdRRbXZeMAA5HO+/MRqw1t4xfzkTyHso5LJL61oA==" saltValue="Kb5ze79kwmzULE/Rf3tby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vHg4qzc6e3+YOMxAsfiaEs9v62HmjkjNtPmLnZiPDluyESFxdhWbjuN3rs5dMmCYxv4Zm1clfGGItJSk4GL+fw==" saltValue="78WeQw+5dsQDfGjPRsXxF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uk4d5AXjuRqqU+t6BlbT0X4/J2Op7L4eRvY6Rrr2D9102iXWA0pNt2AUBqA0a99cKSUU+PO9uq3z13adClAlbg==" saltValue="HadQ7KDxStwfMbAKsynfr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COMUNIDAD VALENCIANA</v>
      </c>
      <c r="F1" s="752"/>
    </row>
    <row r="2" spans="1:75" ht="16.5" customHeight="1">
      <c r="C2" s="520" t="str">
        <f>Criterios!A10 &amp;"  "&amp;Criterios!B10 &amp; "  " &amp; IF(NOT(ISBLANK(Criterios!A11)),Criterios!A11 &amp;"  "&amp;Criterios!B11,"")</f>
        <v>Provincias  VALENCIA  Resumenes por Partidos Judiciales  GANDIA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0.16016427104722791</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0.11325324216129508</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P/MN/GJ2Qf2T9FbWkjeQTf21dsbQq/2Mgwnp4vjBbNnWHM8BmNDSwx3BBXQSvGc9vbo3Vqi9QdgRTbV8kNHASw==" saltValue="MlI70YpHS6JlUq1KFMjAG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WOT9F06WAiGQOzPH8b5leBKaQ0vQ0IDCDuxDBsKnnZ71l2wc56/hMDKUqYnG4BPXsgR/GS8kMleGUA8dFjcYtg==" saltValue="sqKEE12es0Jgo7f5F91h9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COMUNIDAD VALENCIANA</v>
      </c>
      <c r="C2" s="399"/>
      <c r="D2" s="399"/>
      <c r="E2" s="399"/>
      <c r="F2" s="399"/>
    </row>
    <row r="3" spans="1:14" ht="19.5">
      <c r="A3" s="401" t="s">
        <v>115</v>
      </c>
      <c r="B3" s="402" t="str">
        <f>Criterios!A10 &amp;"  "&amp;Criterios!B10</f>
        <v>Provincias  VALENCIA</v>
      </c>
      <c r="D3" s="399"/>
      <c r="E3" s="399"/>
      <c r="F3" s="399"/>
    </row>
    <row r="4" spans="1:14" ht="13.5" thickBot="1">
      <c r="A4" s="399"/>
      <c r="B4" s="402" t="str">
        <f>Criterios!A11 &amp;"  "&amp;Criterios!B11</f>
        <v>Resumenes por Partidos Judiciales  GANDIA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6</v>
      </c>
      <c r="C9" s="414">
        <f>IF(ISNUMBER(IF(J_V="SI",Datos!I9,Datos!I9+Datos!Y9)),IF(J_V="SI",Datos!I9,Datos!I9+Datos!Y9)," - ")</f>
        <v>4605</v>
      </c>
      <c r="D9" s="415">
        <f>IF(ISNUMBER(C9/Datos!BH9),C9/Datos!BH9," - ")</f>
        <v>767.5</v>
      </c>
      <c r="E9" s="414">
        <f>IF(ISNUMBER(IF(J_V="SI",Datos!J9,Datos!J9+Datos!Z9)),IF(J_V="SI",Datos!J9,Datos!J9+Datos!Z9)," - ")</f>
        <v>2859</v>
      </c>
      <c r="F9" s="415">
        <f>IF(ISNUMBER(E9/B9),E9/B9," - ")</f>
        <v>476.5</v>
      </c>
      <c r="G9" s="414">
        <f>IF(ISNUMBER(IF(J_V="SI",Datos!K9,Datos!K9+Datos!AA9)),IF(J_V="SI",Datos!K9,Datos!K9+Datos!AA9)," - ")</f>
        <v>2905</v>
      </c>
      <c r="H9" s="415">
        <f>IF(ISNUMBER(G9/B9),G9/B9," - ")</f>
        <v>484.16666666666669</v>
      </c>
      <c r="I9" s="414">
        <f>IF(ISNUMBER(IF(J_V="SI",Datos!L9,Datos!L9+Datos!AB9)),IF(J_V="SI",Datos!L9,Datos!L9+Datos!AB9)," - ")</f>
        <v>4557</v>
      </c>
      <c r="J9" s="415">
        <f>IF(ISNUMBER(I9/B9),I9/B9," - ")</f>
        <v>759.5</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80</v>
      </c>
      <c r="D10" s="415">
        <f>IF(ISNUMBER(C10/Datos!BH10),C10/Datos!BH10," - ")</f>
        <v>80</v>
      </c>
      <c r="E10" s="414">
        <f>IF(ISNUMBER(Datos!J10),Datos!J10," - ")</f>
        <v>28</v>
      </c>
      <c r="F10" s="415">
        <f>IF(ISNUMBER(E10/B10),E10/B10," - ")</f>
        <v>28</v>
      </c>
      <c r="G10" s="414">
        <f>IF(ISNUMBER(Datos!K10),Datos!K10," - ")</f>
        <v>17</v>
      </c>
      <c r="H10" s="415">
        <f>IF(ISNUMBER(G10/B10),G10/B10," - ")</f>
        <v>17</v>
      </c>
      <c r="I10" s="414">
        <f>IF(ISNUMBER(Datos!L10),Datos!L10," - ")</f>
        <v>91</v>
      </c>
      <c r="J10" s="415">
        <f>IF(ISNUMBER(I10/B10),I10/B10," - ")</f>
        <v>91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f>IF(ISNUMBER(IF(J_V="SI",Datos!I12,Datos!I12+Datos!Y12)),IF(J_V="SI",Datos!I12,Datos!I12+Datos!Y12)," - ")</f>
        <v>0</v>
      </c>
      <c r="D12" s="415" t="str">
        <f>IF(ISNUMBER(C12/Datos!BH12),C12/Datos!BH12," - ")</f>
        <v xml:space="preserve"> - </v>
      </c>
      <c r="E12" s="414">
        <f>IF(ISNUMBER(IF(J_V="SI",Datos!J12,Datos!J12+Datos!Z12)),IF(J_V="SI",Datos!J12,Datos!J12+Datos!Z12)," - ")</f>
        <v>0</v>
      </c>
      <c r="F12" s="415" t="str">
        <f>IF(ISNUMBER(E12/B12),E12/B12," - ")</f>
        <v xml:space="preserve"> - </v>
      </c>
      <c r="G12" s="414">
        <f>IF(ISNUMBER(IF(J_V="SI",Datos!K12,Datos!K12+Datos!AA12)),IF(J_V="SI",Datos!K12,Datos!K12+Datos!AA12)," - ")</f>
        <v>0</v>
      </c>
      <c r="H12" s="415" t="str">
        <f>IF(ISNUMBER(G12/B12),G12/B12," - ")</f>
        <v xml:space="preserve"> - </v>
      </c>
      <c r="I12" s="414">
        <f>IF(ISNUMBER(IF(J_V="SI",Datos!L12,Datos!L12+Datos!AB12)),IF(J_V="SI",Datos!L12,Datos!L12+Datos!AB12)," - ")</f>
        <v>0</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7</v>
      </c>
      <c r="C13" s="995">
        <f>SUBTOTAL(9,C8:C12)</f>
        <v>4685</v>
      </c>
      <c r="D13" s="996" t="str">
        <f>IF(ISNUMBER(C13/Datos!BI13),C13/Datos!BI13," - ")</f>
        <v xml:space="preserve"> - </v>
      </c>
      <c r="E13" s="995">
        <f>SUBTOTAL(9,E8:E12)</f>
        <v>2887</v>
      </c>
      <c r="F13" s="996">
        <f>IF(ISNUMBER(E13/B13),E13/B13," - ")</f>
        <v>412.42857142857144</v>
      </c>
      <c r="G13" s="995">
        <f>SUBTOTAL(9,G8:G12)</f>
        <v>2922</v>
      </c>
      <c r="H13" s="996">
        <f>IF(ISNUMBER(G13/B13),G13/B13," - ")</f>
        <v>417.42857142857144</v>
      </c>
      <c r="I13" s="995">
        <f>SUBTOTAL(9,I8:I12)</f>
        <v>4648</v>
      </c>
      <c r="J13" s="996">
        <f>IF(ISNUMBER(I13/B13),I13/B13," - ")</f>
        <v>664</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3</v>
      </c>
      <c r="C15" s="414">
        <f>IF(ISNUMBER(IF(D_I="SI",Datos!I15,Datos!I15+Datos!AC15)),IF(D_I="SI",Datos!I15,Datos!I15+Datos!AC15)," - ")</f>
        <v>1493</v>
      </c>
      <c r="D15" s="415">
        <f>IF(ISNUMBER(C15/Datos!BH15),C15/Datos!BH15," - ")</f>
        <v>497.66666666666669</v>
      </c>
      <c r="E15" s="414">
        <f>IF(ISNUMBER(IF(D_I="SI",Datos!J15,Datos!J15+Datos!AD15)),IF(D_I="SI",Datos!J15,Datos!J15+Datos!AD15)," - ")</f>
        <v>2258</v>
      </c>
      <c r="F15" s="415">
        <f>IF(ISNUMBER(E15/B15),E15/B15," - ")</f>
        <v>752.66666666666663</v>
      </c>
      <c r="G15" s="414">
        <f>IF(ISNUMBER(IF(D_I="SI",Datos!K15,Datos!K15+Datos!AE15)),IF(D_I="SI",Datos!K15,Datos!K15+Datos!AE15)," - ")</f>
        <v>2204</v>
      </c>
      <c r="H15" s="415">
        <f>IF(ISNUMBER(G15/B15),G15/B15," - ")</f>
        <v>734.66666666666663</v>
      </c>
      <c r="I15" s="414">
        <f>IF(ISNUMBER(IF(D_I="SI",Datos!L15,Datos!L15+Datos!AF15)),IF(D_I="SI",Datos!L15,Datos!L15+Datos!AF15)," - ")</f>
        <v>1621</v>
      </c>
      <c r="J15" s="415">
        <f>IF(ISNUMBER(I15/B15),I15/B15," - ")</f>
        <v>540.33333333333337</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100</v>
      </c>
      <c r="D17" s="415">
        <f>IF(ISNUMBER(C17/Datos!BH17),C17/Datos!BH17," - ")</f>
        <v>100</v>
      </c>
      <c r="E17" s="414">
        <f>IF(ISNUMBER(IF(D_I="SI",Datos!J17,Datos!J17+Datos!AD17)),IF(D_I="SI",Datos!J17,Datos!J17+Datos!AD17)," - ")</f>
        <v>238</v>
      </c>
      <c r="F17" s="415">
        <f>IF(ISNUMBER(E17/B17),E17/B17," - ")</f>
        <v>238</v>
      </c>
      <c r="G17" s="414">
        <f>IF(ISNUMBER(IF(D_I="SI",Datos!K17,Datos!K17+Datos!AE17)),IF(D_I="SI",Datos!K17,Datos!K17+Datos!AE17)," - ")</f>
        <v>238</v>
      </c>
      <c r="H17" s="415">
        <f>IF(ISNUMBER(G17/B17),G17/B17," - ")</f>
        <v>238</v>
      </c>
      <c r="I17" s="414">
        <f>IF(ISNUMBER(IF(D_I="SI",Datos!L17,Datos!L17+Datos!AF17)),IF(D_I="SI",Datos!L17,Datos!L17+Datos!AF17)," - ")</f>
        <v>100</v>
      </c>
      <c r="J17" s="415">
        <f>IF(ISNUMBER(I17/B17),I17/B17," - ")</f>
        <v>100</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4</v>
      </c>
      <c r="C18" s="995">
        <f>SUBTOTAL(9,C14:C17)</f>
        <v>1593</v>
      </c>
      <c r="D18" s="996" t="str">
        <f>IF(ISNUMBER(C18/Datos!BI18),C18/Datos!BI18," - ")</f>
        <v xml:space="preserve"> - </v>
      </c>
      <c r="E18" s="995">
        <f>SUBTOTAL(9,E14:E17)</f>
        <v>2496</v>
      </c>
      <c r="F18" s="996">
        <f>IF(ISNUMBER(E18/B18),E18/B18," - ")</f>
        <v>624</v>
      </c>
      <c r="G18" s="995">
        <f>SUBTOTAL(9,G14:G17)</f>
        <v>2442</v>
      </c>
      <c r="H18" s="996">
        <f>IF(ISNUMBER(G18/B18),G18/B18," - ")</f>
        <v>610.5</v>
      </c>
      <c r="I18" s="995">
        <f>SUBTOTAL(9,I14:I17)</f>
        <v>1721</v>
      </c>
      <c r="J18" s="996">
        <f>IF(ISNUMBER(I18/B18),I18/B18," - ")</f>
        <v>430.25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10</v>
      </c>
      <c r="C19" s="940">
        <f>SUBTOTAL(9,C9:C18)</f>
        <v>6278</v>
      </c>
      <c r="D19" s="941" t="str">
        <f>IF(ISNUMBER(C19/Datos!BI19),C19/Datos!BI19," - ")</f>
        <v xml:space="preserve"> - </v>
      </c>
      <c r="E19" s="940">
        <f>SUBTOTAL(9,E9:E18)</f>
        <v>5383</v>
      </c>
      <c r="F19" s="941">
        <f>IF(ISNUMBER(E19/B19),E19/B19," - ")</f>
        <v>538.29999999999995</v>
      </c>
      <c r="G19" s="940">
        <f>SUBTOTAL(9,G9:G18)</f>
        <v>5364</v>
      </c>
      <c r="H19" s="941">
        <f>IF(ISNUMBER(G19/B19),G19/B19," - ")</f>
        <v>536.4</v>
      </c>
      <c r="I19" s="940">
        <f>SUBTOTAL(9,I9:I18)</f>
        <v>6369</v>
      </c>
      <c r="J19" s="941">
        <f>IF(ISNUMBER(I19/B19),I19/B19," - ")</f>
        <v>636.9</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dZpZh1QrNE2A2JA080AmJiDkimYJTZfx+wg3rCzsOEDPFj0xtw9ERN37NT8qTkNU7te5Q2rmLgqSOgD5/lOliA==" saltValue="Te6uqVR5A+XHwqkF3w8Vh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COMUNIDAD VALENCIANA</v>
      </c>
      <c r="F1" s="752"/>
      <c r="W1"/>
      <c r="X1"/>
      <c r="BE1" s="752"/>
    </row>
    <row r="2" spans="1:65" ht="16.5" customHeight="1">
      <c r="C2" s="520" t="str">
        <f>Criterios!A10 &amp;"  "&amp;Criterios!B10 &amp; "  " &amp; IF(NOT(ISBLANK(Criterios!A11)),Criterios!A11 &amp;"  "&amp;Criterios!B11,"")</f>
        <v>Provincias  VALENCIA  Resumenes por Partidos Judiciales  GANDIA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6</v>
      </c>
      <c r="B9" s="652" t="s">
        <v>249</v>
      </c>
      <c r="C9" s="670" t="str">
        <f>Datos!A9</f>
        <v xml:space="preserve">Jdos. 1ª Instancia   </v>
      </c>
      <c r="D9" s="543"/>
      <c r="E9" s="800">
        <f>IF(ISNUMBER(Datos!AQ9),Datos!AQ9," - ")</f>
        <v>6</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1</v>
      </c>
      <c r="F10" s="801">
        <f>IF(ISNUMBER(Datos!L10+Datos!K10-Datos!J10),Datos!L10+Datos!K10-Datos!J10," - ")</f>
        <v>80</v>
      </c>
      <c r="G10" s="802">
        <f>IF(ISNUMBER(Datos!I10),Datos!I10," - ")</f>
        <v>80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7</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17</v>
      </c>
      <c r="AC10" s="801" t="str">
        <f>IF(ISNUMBER(IF(D_I="SI",DatosP!K17,DatosP!K17+DatosP!AE17)),IF(D_I="SI",DatosP!K17,DatosP!K17+DatosP!AE17)," - ")</f>
        <v xml:space="preserve"> - </v>
      </c>
      <c r="AD10" s="803"/>
      <c r="AE10" s="803"/>
      <c r="AF10" s="806">
        <f>IF(ISNUMBER(Datos!L10),Datos!L10,"-")</f>
        <v>91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8</v>
      </c>
      <c r="AM10" s="810">
        <f>IF(ISNUMBER(Datos!N10+DatosP!N17),Datos!N10+DatosP!N17," - ")</f>
        <v>8</v>
      </c>
      <c r="AN10" s="810">
        <f>IF(ISNUMBER(Datos!BW10+DatosP!BW17),Datos!BW10+DatosP!BW17," - ")</f>
        <v>0</v>
      </c>
      <c r="AO10" s="811">
        <f>IF(ISNUMBER(Datos!BX10+DatosP!BX17),Datos!BX10+DatosP!BX17," - ")</f>
        <v>0</v>
      </c>
      <c r="AP10" s="813">
        <f>IF(ISNUMBER(((Datos!L10/Datos!K10)*11)/factor_trimestre),((Datos!L10/Datos!K10)*11)/factor_trimestre," - ")</f>
        <v>16.058823529411764</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0</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279</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0</v>
      </c>
      <c r="AM12" s="810">
        <f>IF(ISNUMBER(Datos!N12+DatosP!N16),Datos!N12+DatosP!N16," - ")</f>
        <v>0</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0</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7</v>
      </c>
      <c r="F13" s="1084">
        <f t="shared" si="0"/>
        <v>80</v>
      </c>
      <c r="G13" s="1084">
        <f t="shared" si="0"/>
        <v>80</v>
      </c>
      <c r="H13" s="1084">
        <f t="shared" si="0"/>
        <v>0</v>
      </c>
      <c r="I13" s="1086">
        <f t="shared" si="0"/>
        <v>0</v>
      </c>
      <c r="J13" s="1085">
        <f t="shared" si="0"/>
        <v>0</v>
      </c>
      <c r="K13" s="1085">
        <f t="shared" si="0"/>
        <v>0</v>
      </c>
      <c r="L13" s="1087">
        <f t="shared" si="0"/>
        <v>0</v>
      </c>
      <c r="M13" s="1087">
        <f t="shared" si="0"/>
        <v>0</v>
      </c>
      <c r="N13" s="1085">
        <f t="shared" si="0"/>
        <v>7</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17</v>
      </c>
      <c r="AC13" s="1085">
        <f t="shared" si="1"/>
        <v>0</v>
      </c>
      <c r="AD13" s="1085">
        <f t="shared" si="1"/>
        <v>0</v>
      </c>
      <c r="AE13" s="1085">
        <f t="shared" si="1"/>
        <v>0</v>
      </c>
      <c r="AF13" s="1085">
        <f t="shared" si="1"/>
        <v>91</v>
      </c>
      <c r="AG13" s="1085">
        <f t="shared" si="1"/>
        <v>0</v>
      </c>
      <c r="AH13" s="1085">
        <f t="shared" si="1"/>
        <v>279</v>
      </c>
      <c r="AI13" s="1085">
        <f t="shared" si="1"/>
        <v>0</v>
      </c>
      <c r="AJ13" s="1085">
        <f t="shared" si="1"/>
        <v>0</v>
      </c>
      <c r="AK13" s="1085">
        <f t="shared" si="1"/>
        <v>0</v>
      </c>
      <c r="AL13" s="1085">
        <f t="shared" si="1"/>
        <v>8</v>
      </c>
      <c r="AM13" s="1085">
        <f t="shared" si="1"/>
        <v>8</v>
      </c>
      <c r="AN13" s="1085">
        <f t="shared" si="1"/>
        <v>0</v>
      </c>
      <c r="AO13" s="1085">
        <f t="shared" si="1"/>
        <v>0</v>
      </c>
      <c r="AP13" s="1090">
        <f>IF(ISNUMBER(((Datos!L13/Datos!K13)*11)/factor_trimestre),((Datos!L13/Datos!K13)*11)/factor_trimestre," - ")</f>
        <v>4.862947912818619</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-0.21249999999999999</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3</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2.1142506142506146</v>
      </c>
      <c r="AQ18" s="1090">
        <f>IF(ISNUMBER(((Datos!M18/Datos!L18)*11)/factor_trimestre),((Datos!M18/Datos!L18)*11)/factor_trimestre," - ")</f>
        <v>0.77396862289366652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-3.6175710594315243E-2</v>
      </c>
      <c r="AW18" s="1092">
        <f>IF(ISNUMBER((Datos!Q18-Datos!R18)/(Datos!S18-Datos!Q18+Datos!R18)),(Datos!Q18-Datos!R18)/(Datos!S18-Datos!Q18+Datos!R18)," - ")</f>
        <v>-0.15165262475696695</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7</v>
      </c>
      <c r="F19" s="1097">
        <f t="shared" si="4"/>
        <v>80</v>
      </c>
      <c r="G19" s="1097">
        <f t="shared" si="4"/>
        <v>80</v>
      </c>
      <c r="H19" s="1097">
        <f t="shared" si="4"/>
        <v>0</v>
      </c>
      <c r="I19" s="1098">
        <f t="shared" si="4"/>
        <v>0</v>
      </c>
      <c r="J19" s="1099">
        <f t="shared" si="4"/>
        <v>0</v>
      </c>
      <c r="K19" s="1099">
        <f t="shared" si="4"/>
        <v>0</v>
      </c>
      <c r="L19" s="1099">
        <f t="shared" si="4"/>
        <v>0</v>
      </c>
      <c r="M19" s="1099">
        <f t="shared" si="4"/>
        <v>0</v>
      </c>
      <c r="N19" s="1098">
        <f t="shared" si="4"/>
        <v>7</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17</v>
      </c>
      <c r="AC19" s="1103">
        <f t="shared" si="5"/>
        <v>0</v>
      </c>
      <c r="AD19" s="1103">
        <f t="shared" si="5"/>
        <v>0</v>
      </c>
      <c r="AE19" s="1103">
        <f t="shared" si="5"/>
        <v>0</v>
      </c>
      <c r="AF19" s="1104">
        <f t="shared" si="5"/>
        <v>91</v>
      </c>
      <c r="AG19" s="1104">
        <f t="shared" si="5"/>
        <v>0</v>
      </c>
      <c r="AH19" s="1104">
        <f t="shared" si="5"/>
        <v>279</v>
      </c>
      <c r="AI19" s="1104">
        <f t="shared" si="5"/>
        <v>0</v>
      </c>
      <c r="AJ19" s="1105">
        <f t="shared" si="5"/>
        <v>0</v>
      </c>
      <c r="AK19" s="1105">
        <f t="shared" si="5"/>
        <v>0</v>
      </c>
      <c r="AL19" s="1097">
        <f t="shared" si="5"/>
        <v>8</v>
      </c>
      <c r="AM19" s="1097">
        <f t="shared" si="5"/>
        <v>8</v>
      </c>
      <c r="AN19" s="1097">
        <f t="shared" si="5"/>
        <v>0</v>
      </c>
      <c r="AO19" s="1097">
        <f t="shared" si="5"/>
        <v>0</v>
      </c>
      <c r="AP19" s="1097">
        <f>IF(ISNUMBER(((Datos!L19/Datos!K19)*11)/factor_trimestre),((Datos!L19/Datos!K19)*11)/factor_trimestre," - ")</f>
        <v>3.5593319091085647</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-0.21249999999999999</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-1.2874082439299831E-2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53.333333333333336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3.2659863237109041</v>
      </c>
      <c r="F21" s="869">
        <f>IF(ISNUMBER(STDEV(F8:F18)),STDEV(F8:F18),"-")</f>
        <v>46.188021535170058</v>
      </c>
      <c r="G21" s="870">
        <f>IF(ISNUMBER(STDEV(G8:G18)),STDEV(G8:G18),"-")</f>
        <v>46.188021535170058</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9.8149545762236379</v>
      </c>
      <c r="AC21" s="871">
        <f>IF(ISNUMBER(STDEV(AC8:AC18)),STDEV(AC8:AC18),"-")</f>
        <v>0</v>
      </c>
      <c r="AD21" s="874"/>
      <c r="AE21" s="874"/>
      <c r="AF21" s="874"/>
      <c r="AG21" s="874"/>
      <c r="AH21" s="874"/>
      <c r="AI21" s="874"/>
      <c r="AJ21" s="875">
        <f>IF(ISNUMBER(STDEV(AJ8:AJ18)),STDEV(AJ8:AJ18),"-")</f>
        <v>0</v>
      </c>
      <c r="AK21" s="877"/>
      <c r="AL21" s="869">
        <f>IF(ISNUMBER(STDEV(AL8:AL18)),STDEV(AL8:AL18),"-")</f>
        <v>4.6188021535170058</v>
      </c>
      <c r="AM21" s="869"/>
      <c r="AN21" s="869">
        <f>IF(ISNUMBER(STDEV(AN8:AN18)),STDEV(AN8:AN18),"-")</f>
        <v>0</v>
      </c>
      <c r="AO21" s="875">
        <f>IF(ISNUMBER(STDEV(AO8:AO18)),STDEV(AO8:AO18),"-")</f>
        <v>0</v>
      </c>
      <c r="AP21" s="922">
        <f>IF(ISNUMBER(STDEV(AP8:AP18)),STDEV(AP8:AP18),"-")</f>
        <v>7.38640735233336</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ZOd49aN280CkgkRudNPx8nH4pDW04aYPY9E/hHya4u9zdNqJHNhX5nOFgsAYGwi2uyp7o/xGpl9V+XFSHnaRaA==" saltValue="Hb/z8SHiuG2T+z7VCpz1G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COMUNIDAD VALENCIANA</v>
      </c>
      <c r="C2" s="399"/>
      <c r="E2" s="399"/>
      <c r="F2" s="399"/>
      <c r="G2" s="399"/>
      <c r="H2" s="399"/>
    </row>
    <row r="3" spans="1:15" ht="39">
      <c r="A3" s="426" t="s">
        <v>221</v>
      </c>
      <c r="B3" s="402" t="str">
        <f>Criterios!A10 &amp;"  "&amp;Criterios!B10</f>
        <v>Provincias  VALENCIA</v>
      </c>
      <c r="C3" s="426"/>
      <c r="F3" s="399"/>
      <c r="G3" s="399"/>
      <c r="H3" s="399"/>
    </row>
    <row r="4" spans="1:15" ht="13.5" thickBot="1">
      <c r="A4" s="399"/>
      <c r="B4" s="402" t="str">
        <f>Criterios!A11 &amp;"  "&amp;Criterios!B11</f>
        <v>Resumenes por Partidos Judiciales  GANDIA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6</v>
      </c>
      <c r="D9" s="414">
        <f>Datos!BK9</f>
        <v>0</v>
      </c>
      <c r="E9" s="414">
        <f>Datos!AQ9</f>
        <v>6</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3</v>
      </c>
      <c r="D15" s="414">
        <f>Datos!BK15</f>
        <v>0</v>
      </c>
      <c r="E15" s="414">
        <f>Datos!AQ15</f>
        <v>3</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hWsAtEjpXLhTNKfsfderVDWL/1xUT0xxt18udDj6r174eFoPo8Xh2ZfRscJGqJX3BLGSb1M4atQoI5RiXqZFGQ==" saltValue="wIX6Pwk4NsHLhSa+w9+5X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COMUNIDAD VALENCIANA</v>
      </c>
      <c r="C2" s="438"/>
      <c r="D2" s="381"/>
    </row>
    <row r="3" spans="1:9" ht="19.5">
      <c r="A3" s="439" t="s">
        <v>11</v>
      </c>
      <c r="B3" s="440" t="str">
        <f>Criterios!A10 &amp;"  "&amp;Criterios!B10</f>
        <v>Provincias  VALENCIA</v>
      </c>
      <c r="C3" s="438"/>
      <c r="D3" s="439"/>
    </row>
    <row r="4" spans="1:9" ht="13.5" thickBot="1">
      <c r="B4" s="440" t="str">
        <f>Criterios!A11 &amp;"  "&amp;Criterios!B11</f>
        <v>Resumenes por Partidos Judiciales  GANDIA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6</v>
      </c>
      <c r="C9" s="421">
        <f>Datos!AQ9</f>
        <v>6</v>
      </c>
      <c r="D9" s="414">
        <f>IF(ISNUMBER(Datos!M9),Datos!M9," - ")</f>
        <v>460</v>
      </c>
      <c r="E9" s="415">
        <f t="shared" ref="E9:E13" si="0">IF(ISNUMBER(D9/B9),D9/B9," - ")</f>
        <v>76.666666666666671</v>
      </c>
      <c r="F9" s="414">
        <f>IF(ISNUMBER(Datos!N9),Datos!N9," - ")</f>
        <v>1086</v>
      </c>
      <c r="G9" s="415">
        <f t="shared" ref="G9:G13" si="1">IF(ISNUMBER(F9/B9),F9/B9," - ")</f>
        <v>181</v>
      </c>
      <c r="H9" s="414">
        <f>IF(ISNUMBER(Datos!O9),Datos!O9," - ")</f>
        <v>1858</v>
      </c>
      <c r="I9" s="415">
        <f>IF(ISNUMBER(H9/B9),H9/B9," - ")</f>
        <v>309.66666666666669</v>
      </c>
    </row>
    <row r="10" spans="1:9">
      <c r="A10" s="413" t="str">
        <f>Datos!A10</f>
        <v>Jdos. Violencia contra la mujer</v>
      </c>
      <c r="B10" s="443">
        <f>Datos!AO10</f>
        <v>1</v>
      </c>
      <c r="C10" s="421">
        <f>Datos!AQ10</f>
        <v>1</v>
      </c>
      <c r="D10" s="414">
        <f>IF(ISNUMBER(Datos!M10),Datos!M10," - ")</f>
        <v>8</v>
      </c>
      <c r="E10" s="415">
        <f>IF(ISNUMBER(D10/B10),D10/B10," - ")</f>
        <v>8</v>
      </c>
      <c r="F10" s="414">
        <f>IF(ISNUMBER(Datos!N10),Datos!N10," - ")</f>
        <v>8</v>
      </c>
      <c r="G10" s="415">
        <f>IF(ISNUMBER(F10/B10),F10/B10," - ")</f>
        <v>8</v>
      </c>
      <c r="H10" s="414">
        <f>IF(ISNUMBER(Datos!O10),Datos!O10," - ")</f>
        <v>7</v>
      </c>
      <c r="I10" s="415">
        <f t="shared" ref="I10:I12" si="2">IF(ISNUMBER(H10/B10),H10/B10," - ")</f>
        <v>7</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0</v>
      </c>
      <c r="C12" s="421">
        <f>Datos!AQ12</f>
        <v>0</v>
      </c>
      <c r="D12" s="414">
        <f>IF(ISNUMBER(Datos!M12),Datos!M12," - ")</f>
        <v>0</v>
      </c>
      <c r="E12" s="415" t="str">
        <f t="shared" si="0"/>
        <v xml:space="preserve"> - </v>
      </c>
      <c r="F12" s="414">
        <f>IF(ISNUMBER(Datos!N12),Datos!N12," - ")</f>
        <v>0</v>
      </c>
      <c r="G12" s="415" t="str">
        <f t="shared" si="1"/>
        <v xml:space="preserve"> - </v>
      </c>
      <c r="H12" s="414">
        <f>IF(ISNUMBER(Datos!O12),Datos!O12," - ")</f>
        <v>0</v>
      </c>
      <c r="I12" s="415" t="str">
        <f t="shared" si="2"/>
        <v xml:space="preserve"> - </v>
      </c>
    </row>
    <row r="13" spans="1:9" ht="14.25" thickTop="1" thickBot="1">
      <c r="A13" s="994" t="str">
        <f>Datos!A13</f>
        <v>TOTAL</v>
      </c>
      <c r="B13" s="995">
        <f>Datos!AO13</f>
        <v>7</v>
      </c>
      <c r="C13" s="997">
        <f>Datos!AR13</f>
        <v>7</v>
      </c>
      <c r="D13" s="995">
        <f>SUBTOTAL(9,D9:D12)</f>
        <v>468</v>
      </c>
      <c r="E13" s="996">
        <f t="shared" si="0"/>
        <v>66.857142857142861</v>
      </c>
      <c r="F13" s="995">
        <f>SUBTOTAL(9,F9:F12)</f>
        <v>1094</v>
      </c>
      <c r="G13" s="996">
        <f t="shared" si="1"/>
        <v>156.28571428571428</v>
      </c>
      <c r="H13" s="995">
        <f>SUBTOTAL(9,H9:H12)</f>
        <v>1865</v>
      </c>
      <c r="I13" s="996">
        <f>IF(ISNUMBER(H13/B13),H13/B13," - ")</f>
        <v>266.42857142857144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3</v>
      </c>
      <c r="C15" s="444">
        <f>Datos!AQ15</f>
        <v>3</v>
      </c>
      <c r="D15" s="414">
        <f>IF(ISNUMBER(Datos!M15),Datos!M15," - ")</f>
        <v>378</v>
      </c>
      <c r="E15" s="415">
        <f t="shared" ref="E15:E18" si="3">IF(ISNUMBER(D15/B15),D15/B15," - ")</f>
        <v>126</v>
      </c>
      <c r="F15" s="414">
        <f>IF(ISNUMBER(Datos!N15),Datos!N15," - ")</f>
        <v>1234</v>
      </c>
      <c r="G15" s="415">
        <f t="shared" ref="G15:G18" si="4">IF(ISNUMBER(F15/B15),F15/B15," - ")</f>
        <v>411.33333333333331</v>
      </c>
      <c r="H15" s="414">
        <f>IF(ISNUMBER(Datos!O15),Datos!O15," - ")</f>
        <v>109</v>
      </c>
      <c r="I15" s="415">
        <f t="shared" ref="I15:I17" si="5">IF(ISNUMBER(H15/B15),H15/B15," - ")</f>
        <v>36.333333333333336</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1</v>
      </c>
      <c r="C17" s="444">
        <f>Datos!AQ17</f>
        <v>1</v>
      </c>
      <c r="D17" s="414">
        <f>IF(ISNUMBER(Datos!M17),Datos!M17," - ")</f>
        <v>66</v>
      </c>
      <c r="E17" s="415">
        <f>IF(ISNUMBER(D17/B17),D17/B17," - ")</f>
        <v>66</v>
      </c>
      <c r="F17" s="414">
        <f>IF(ISNUMBER(Datos!N17),Datos!N17," - ")</f>
        <v>175</v>
      </c>
      <c r="G17" s="415">
        <f>IF(ISNUMBER(F17/B17),F17/B17," - ")</f>
        <v>175</v>
      </c>
      <c r="H17" s="414">
        <f>IF(ISNUMBER(Datos!O17),Datos!O17," - ")</f>
        <v>15</v>
      </c>
      <c r="I17" s="415">
        <f t="shared" si="5"/>
        <v>15</v>
      </c>
    </row>
    <row r="18" spans="1:9" ht="14.25" thickTop="1" thickBot="1">
      <c r="A18" s="994" t="str">
        <f>Datos!A18</f>
        <v>TOTAL</v>
      </c>
      <c r="B18" s="995">
        <f>Datos!AO18</f>
        <v>4</v>
      </c>
      <c r="C18" s="997">
        <f>Datos!AR18</f>
        <v>4</v>
      </c>
      <c r="D18" s="995">
        <f>SUBTOTAL(9,D15:D17)</f>
        <v>444</v>
      </c>
      <c r="E18" s="996">
        <f t="shared" si="3"/>
        <v>111</v>
      </c>
      <c r="F18" s="995">
        <f>SUBTOTAL(9,F15:F17)</f>
        <v>1409</v>
      </c>
      <c r="G18" s="996">
        <f t="shared" si="4"/>
        <v>352.25</v>
      </c>
      <c r="H18" s="995">
        <f>SUBTOTAL(9,H15:H17)</f>
        <v>124</v>
      </c>
      <c r="I18" s="996">
        <f>IF(ISNUMBER(H18/B18),H18/B18," - ")</f>
        <v>31</v>
      </c>
    </row>
    <row r="19" spans="1:9" ht="14.25" thickTop="1" thickBot="1">
      <c r="A19" s="939" t="str">
        <f>Datos!A19</f>
        <v>TOTAL JURISDICCIONES</v>
      </c>
      <c r="B19" s="940">
        <f>Datos!AP19</f>
        <v>10</v>
      </c>
      <c r="C19" s="940">
        <f>Datos!AR19</f>
        <v>10</v>
      </c>
      <c r="D19" s="940">
        <f>SUBTOTAL(9,D8:D18)</f>
        <v>912</v>
      </c>
      <c r="E19" s="941">
        <f>IF(ISNUMBER(D19/B19),D19/B19," - ")</f>
        <v>91.2</v>
      </c>
      <c r="F19" s="940">
        <f>SUBTOTAL(9,F8:F18)</f>
        <v>2503</v>
      </c>
      <c r="G19" s="941">
        <f>IF(ISNUMBER(F19/B19),F19/B19," - ")</f>
        <v>250.3</v>
      </c>
      <c r="H19" s="940">
        <f>SUBTOTAL(9,H8:H18)</f>
        <v>1989</v>
      </c>
      <c r="I19" s="941">
        <f>IF(ISNUMBER(H19/B19),H19/B19," - ")</f>
        <v>198.9</v>
      </c>
    </row>
    <row r="22" spans="1:9">
      <c r="A22" s="402" t="str">
        <f>Criterios!A4</f>
        <v>Fecha Informe: 06 oct. 2023</v>
      </c>
    </row>
    <row r="27" spans="1:9">
      <c r="A27" s="425"/>
    </row>
  </sheetData>
  <sheetProtection algorithmName="SHA-512" hashValue="CgrRXTfKNU9ZNYOtfnG9E5ARibaStdXb8gL9rz4IGIOfNJCtr8E5/6nQgP4YQTZGm1KWASBKKBPP8ksdv5qAHQ==" saltValue="BNA3rCah2oRGA3Ks8nhg9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COMUNIDAD VALENCIANA</v>
      </c>
    </row>
    <row r="3" spans="1:4" ht="19.5">
      <c r="A3" s="445" t="s">
        <v>32</v>
      </c>
      <c r="B3" s="402" t="str">
        <f>Criterios!A10 &amp;"  "&amp;Criterios!B10</f>
        <v>Provincias  VALENCIA</v>
      </c>
    </row>
    <row r="4" spans="1:4" ht="13.5" thickBot="1">
      <c r="B4" s="402" t="str">
        <f>Criterios!A11 &amp;"  "&amp;Criterios!B11</f>
        <v>Resumenes por Partidos Judiciales  GANDIA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499</v>
      </c>
      <c r="C9" s="450">
        <f>IF(ISNUMBER(Datos!Q9),Datos!Q9," - ")</f>
        <v>600</v>
      </c>
      <c r="D9" s="419">
        <f>IF(ISNUMBER(Datos!R9),Datos!R9," - ")</f>
        <v>8022</v>
      </c>
    </row>
    <row r="10" spans="1:4">
      <c r="A10" s="413" t="str">
        <f>Datos!A10</f>
        <v>Jdos. Violencia contra la mujer</v>
      </c>
      <c r="B10" s="449">
        <f>IF(ISNUMBER(Datos!P10),Datos!P10," - ")</f>
        <v>7</v>
      </c>
      <c r="C10" s="450">
        <f>IF(ISNUMBER(Datos!Q10),Datos!Q10," - ")</f>
        <v>6</v>
      </c>
      <c r="D10" s="419">
        <f>IF(ISNUMBER(Datos!R10),Datos!R10," - ")</f>
        <v>67</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0</v>
      </c>
      <c r="C12" s="450">
        <f>IF(ISNUMBER(Datos!Q12),Datos!Q12," - ")</f>
        <v>0</v>
      </c>
      <c r="D12" s="419">
        <f>IF(ISNUMBER(Datos!R12),Datos!R12," - ")</f>
        <v>279</v>
      </c>
    </row>
    <row r="13" spans="1:4" ht="14.25" thickTop="1" thickBot="1">
      <c r="A13" s="994" t="str">
        <f>Datos!A13</f>
        <v>TOTAL</v>
      </c>
      <c r="B13" s="995">
        <f>SUBTOTAL(9,B9:B12)</f>
        <v>506</v>
      </c>
      <c r="C13" s="999">
        <f>SUBTOTAL(9,C9:C12)</f>
        <v>606</v>
      </c>
      <c r="D13" s="997">
        <f>SUBTOTAL(9,D9:D12)</f>
        <v>8368</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111</v>
      </c>
      <c r="C15" s="450">
        <f>IF(ISNUMBER(Datos!Q15),Datos!Q15," - ")</f>
        <v>125</v>
      </c>
      <c r="D15" s="419">
        <f>IF(ISNUMBER(Datos!R15),Datos!R15," - ")</f>
        <v>347</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14</v>
      </c>
      <c r="C17" s="450">
        <f>IF(ISNUMBER(Datos!Q17),Datos!Q17," - ")</f>
        <v>14</v>
      </c>
      <c r="D17" s="419">
        <f>IF(ISNUMBER(Datos!R17),Datos!R17," - ")</f>
        <v>26</v>
      </c>
    </row>
    <row r="18" spans="1:4" ht="14.25" thickTop="1" thickBot="1">
      <c r="A18" s="994" t="str">
        <f>Datos!A18</f>
        <v>TOTAL</v>
      </c>
      <c r="B18" s="995">
        <f>SUBTOTAL(9,B15:B17)</f>
        <v>125</v>
      </c>
      <c r="C18" s="999">
        <f>SUBTOTAL(9,C15:C17)</f>
        <v>139</v>
      </c>
      <c r="D18" s="997">
        <f>SUBTOTAL(9,D15:D17)</f>
        <v>373</v>
      </c>
    </row>
    <row r="19" spans="1:4" ht="16.5" customHeight="1" thickTop="1" thickBot="1">
      <c r="A19" s="939" t="str">
        <f>Datos!A19</f>
        <v>TOTAL JURISDICCIONES</v>
      </c>
      <c r="B19" s="944">
        <f>SUBTOTAL(9,B8:B18)</f>
        <v>631</v>
      </c>
      <c r="C19" s="945">
        <f>SUBTOTAL(9,C8:C18)</f>
        <v>745</v>
      </c>
      <c r="D19" s="946">
        <f>SUBTOTAL(9,D8:D18)</f>
        <v>8741</v>
      </c>
    </row>
    <row r="20" spans="1:4" ht="7.5" customHeight="1"/>
    <row r="21" spans="1:4" ht="6" customHeight="1"/>
    <row r="22" spans="1:4">
      <c r="A22" s="402" t="str">
        <f>Criterios!A4</f>
        <v>Fecha Informe: 06 oct. 2023</v>
      </c>
    </row>
    <row r="27" spans="1:4">
      <c r="A27" s="425"/>
    </row>
  </sheetData>
  <sheetProtection algorithmName="SHA-512" hashValue="EjFLazHtCCog0hKmXPyBcCbT2eP+L9+fkr5IglB60iz037BN4hoUALiQi+z0s0tcmKy7kROo7kXOlq6kBw7FzA==" saltValue="VBTT8yBNUVVwmN9UjEWPi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COMUNIDAD VALENCIANA</v>
      </c>
    </row>
    <row r="3" spans="1:11" ht="18.75" customHeight="1">
      <c r="A3" s="445" t="s">
        <v>118</v>
      </c>
      <c r="B3" s="402" t="str">
        <f>Criterios!A10 &amp;"  "&amp;Criterios!B10</f>
        <v>Provincias  VALENCIA</v>
      </c>
    </row>
    <row r="4" spans="1:11" ht="10.5" customHeight="1" thickBot="1">
      <c r="B4" s="402" t="str">
        <f>Criterios!A11 &amp;"  "&amp;Criterios!B11</f>
        <v>Resumenes por Partidos Judiciales  GANDIA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0.10617343262070622</v>
      </c>
      <c r="C9" s="472">
        <f>IF(ISNUMBER(
   IF(J_V="SI",(Datos!J9-Datos!T9)/Datos!T9,(Datos!J9+Datos!Z9-(Datos!T9+Datos!AH9))/(Datos!T9+Datos!AH9))
     ),IF(J_V="SI",(Datos!J9-Datos!T9)/Datos!T9,(Datos!J9+Datos!Z9-(Datos!T9+Datos!AH9))/(Datos!T9+Datos!AH9))," - ")</f>
        <v>0.15421881308033911</v>
      </c>
      <c r="D9" s="472">
        <f>IF(ISNUMBER(
   IF(J_V="SI",(Datos!K9-Datos!U9)/Datos!U9,(Datos!K9+Datos!AA9-(Datos!U9+Datos!AI9))/(Datos!U9+Datos!AI9))
     ),IF(J_V="SI",(Datos!K9-Datos!U9)/Datos!U9,(Datos!K9+Datos!AA9-(Datos!U9+Datos!AI9))/(Datos!U9+Datos!AI9))," - ")</f>
        <v>0.17611336032388664</v>
      </c>
      <c r="E9" s="472">
        <f>IF(ISNUMBER(
   IF(J_V="SI",(Datos!L9-Datos!V9)/Datos!V9,(Datos!L9+Datos!AB9-(Datos!V9+Datos!AJ9))/(Datos!V9+Datos!AJ9))
     ),IF(J_V="SI",(Datos!L9-Datos!V9)/Datos!V9,(Datos!L9+Datos!AB9-(Datos!V9+Datos!AJ9))/(Datos!V9+Datos!AJ9))," - ")</f>
        <v>9.2805755395683448E-2</v>
      </c>
      <c r="F9" s="472">
        <f>IF(ISNUMBER((Datos!M9-Datos!W9)/Datos!W9),(Datos!M9-Datos!W9)/Datos!W9," - ")</f>
        <v>-2.748414376321353E-2</v>
      </c>
      <c r="G9" s="473">
        <f>IF(ISNUMBER((Datos!N9-Datos!X9)/Datos!X9),(Datos!N9-Datos!X9)/Datos!X9," - ")</f>
        <v>0.19209659714599342</v>
      </c>
      <c r="H9" s="471">
        <f>IF(ISNUMBER(((NºAsuntos!G9/NºAsuntos!E9)-Datos!BD9)/Datos!BD9),((NºAsuntos!G9/NºAsuntos!E9)-Datos!BD9)/Datos!BD9," - ")</f>
        <v>1.8969147786732234E-2</v>
      </c>
      <c r="I9" s="472">
        <f>IF(ISNUMBER(((NºAsuntos!I9/NºAsuntos!G9)-Datos!BE9)/Datos!BE9),((NºAsuntos!I9/NºAsuntos!G9)-Datos!BE9)/Datos!BE9," - ")</f>
        <v>-7.0832972176475717E-2</v>
      </c>
      <c r="J9" s="477">
        <f>IF(ISNUMBER((('Resol  Asuntos'!D9/NºAsuntos!G9)-Datos!BF9)/Datos!BF9),(('Resol  Asuntos'!D9/NºAsuntos!G9)-Datos!BF9)/Datos!BF9," - ")</f>
        <v>-0.57067095416321079</v>
      </c>
      <c r="K9" s="478">
        <f>IF(ISNUMBER((((NºAsuntos!C9+NºAsuntos!E9)/NºAsuntos!G9)-Datos!BG9)/Datos!BG9),(((NºAsuntos!C9+NºAsuntos!E9)/NºAsuntos!G9)-Datos!BG9)/Datos!BG9," - ")</f>
        <v>-4.4227858076021836E-2</v>
      </c>
    </row>
    <row r="10" spans="1:11">
      <c r="A10" s="413" t="str">
        <f>Datos!A10</f>
        <v>Jdos. Violencia contra la mujer</v>
      </c>
      <c r="B10" s="471">
        <f>IF(ISNUMBER((Datos!I10-Datos!S10)/Datos!S10),(Datos!I10-Datos!S10)/Datos!S10," - ")</f>
        <v>0.95121951219512191</v>
      </c>
      <c r="C10" s="472">
        <f>IF(ISNUMBER((Datos!J10-Datos!T10)/Datos!T10),(Datos!J10-Datos!T10)/Datos!T10," - ")</f>
        <v>-6.6666666666666666E-2</v>
      </c>
      <c r="D10" s="472">
        <f>IF(ISNUMBER((Datos!K10-Datos!U10)/Datos!U10),(Datos!K10-Datos!U10)/Datos!U10," - ")</f>
        <v>-0.32</v>
      </c>
      <c r="E10" s="472">
        <f>IF(ISNUMBER((Datos!L10-Datos!V10)/Datos!V10),(Datos!L10-Datos!V10)/Datos!V10," - ")</f>
        <v>0.97826086956521741</v>
      </c>
      <c r="F10" s="472">
        <f>IF(ISNUMBER((Datos!M10-Datos!W10)/Datos!W10),(Datos!M10-Datos!W10)/Datos!W10," - ")</f>
        <v>-0.1111111111111111</v>
      </c>
      <c r="G10" s="473">
        <f>IF(ISNUMBER((Datos!N10-Datos!X10)/Datos!X10),(Datos!N10-Datos!X10)/Datos!X10," - ")</f>
        <v>-0.33333333333333331</v>
      </c>
      <c r="H10" s="471">
        <f>IF(ISNUMBER(((NºAsuntos!G10/NºAsuntos!E10)-Datos!BD10)/Datos!BD10),((NºAsuntos!G10/NºAsuntos!E10)-Datos!BD10)/Datos!BD10," - ")</f>
        <v>-0.27142857142857152</v>
      </c>
      <c r="I10" s="472">
        <f>IF(ISNUMBER(((NºAsuntos!I10/NºAsuntos!G10)-Datos!BE10)/Datos!BE10),((NºAsuntos!I10/NºAsuntos!G10)-Datos!BE10)/Datos!BE10," - ")</f>
        <v>1.9092071611253194</v>
      </c>
      <c r="J10" s="477">
        <f>IF(ISNUMBER((('Resol  Asuntos'!D10/NºAsuntos!G10)-Datos!BF10)/Datos!BF10),(('Resol  Asuntos'!D10/NºAsuntos!G10)-Datos!BF10)/Datos!BF10," - ")</f>
        <v>0.30718954248366015</v>
      </c>
      <c r="K10" s="478">
        <f>IF(ISNUMBER((((NºAsuntos!C10+NºAsuntos!E10)/NºAsuntos!G10)-Datos!BG10)/Datos!BG10),(((NºAsuntos!C10+NºAsuntos!E10)/NºAsuntos!G10)-Datos!BG10)/Datos!BG10," - ")</f>
        <v>1.2369511184755593</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-1</v>
      </c>
      <c r="C12" s="472">
        <f>IF(ISNUMBER(
   IF(J_V="SI",(Datos!J12-Datos!T12)/Datos!T12,(Datos!J12+Datos!Z12-(Datos!T12+Datos!AH12))/(Datos!T12+Datos!AH12))
     ),IF(J_V="SI",(Datos!J12-Datos!T12)/Datos!T12,(Datos!J12+Datos!Z12-(Datos!T12+Datos!AH12))/(Datos!T12+Datos!AH12))," - ")</f>
        <v>-1</v>
      </c>
      <c r="D12" s="472">
        <f>IF(ISNUMBER(
   IF(J_V="SI",(Datos!K12-Datos!U12)/Datos!U12,(Datos!K12+Datos!AA12-(Datos!U12+Datos!AI12))/(Datos!U12+Datos!AI12))
     ),IF(J_V="SI",(Datos!K12-Datos!U12)/Datos!U12,(Datos!K12+Datos!AA12-(Datos!U12+Datos!AI12))/(Datos!U12+Datos!AI12))," - ")</f>
        <v>-1</v>
      </c>
      <c r="E12" s="472">
        <f>IF(ISNUMBER(
   IF(J_V="SI",(Datos!L12-Datos!V12)/Datos!V12,(Datos!L12+Datos!AB12-(Datos!V12+Datos!AJ12))/(Datos!V12+Datos!AJ12))
     ),IF(J_V="SI",(Datos!L12-Datos!V12)/Datos!V12,(Datos!L12+Datos!AB12-(Datos!V12+Datos!AJ12))/(Datos!V12+Datos!AJ12))," - ")</f>
        <v>-1</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0.11414982164090369</v>
      </c>
      <c r="C13" s="1001">
        <f>IF(ISNUMBER(
   IF(J_V="SI",(Datos!J13-Datos!T13)/Datos!T13,(Datos!J13+Datos!Z13-(Datos!T13+Datos!AH13))/(Datos!T13+Datos!AH13))
     ),IF(J_V="SI",(Datos!J13-Datos!T13)/Datos!T13,(Datos!J13+Datos!Z13-(Datos!T13+Datos!AH13))/(Datos!T13+Datos!AH13))," - ")</f>
        <v>0.1506576325229175</v>
      </c>
      <c r="D13" s="1001">
        <f>IF(ISNUMBER(
   IF(J_V="SI",(Datos!K13-Datos!U13)/Datos!U13,(Datos!K13+Datos!AA13-(Datos!U13+Datos!AI13))/(Datos!U13+Datos!AI13))
     ),IF(J_V="SI",(Datos!K13-Datos!U13)/Datos!U13,(Datos!K13+Datos!AA13-(Datos!U13+Datos!AI13))/(Datos!U13+Datos!AI13))," - ")</f>
        <v>0.17067307692307693</v>
      </c>
      <c r="E13" s="1001">
        <f>IF(ISNUMBER(
   IF(J_V="SI",(Datos!L13-Datos!V13)/Datos!V13,(Datos!L13+Datos!AB13-(Datos!V13+Datos!AJ13))/(Datos!V13+Datos!AJ13))
     ),IF(J_V="SI",(Datos!L13-Datos!V13)/Datos!V13,(Datos!L13+Datos!AB13-(Datos!V13+Datos!AJ13))/(Datos!V13+Datos!AJ13))," - ")</f>
        <v>0.10194404931247036</v>
      </c>
      <c r="F13" s="1002">
        <f>IF(ISNUMBER((Datos!M13-Datos!W13)/Datos!W13),(Datos!M13-Datos!W13)/Datos!W13," - ")</f>
        <v>-2.9045643153526972E-2</v>
      </c>
      <c r="G13" s="1003">
        <f>IF(ISNUMBER((Datos!N13-Datos!X13)/Datos!X13),(Datos!N13-Datos!X13)/Datos!X13," - ")</f>
        <v>0.18526543878656554</v>
      </c>
      <c r="H13" s="1003">
        <f>IF(ISNUMBER(((NºAsuntos!G13/NºAsuntos!E13)-Datos!BD13)/Datos!BD13),((NºAsuntos!G13/NºAsuntos!E13)-Datos!BD13)/Datos!BD13," - ")</f>
        <v>1.739478697609978E-2</v>
      </c>
      <c r="I13" s="1003">
        <f>IF(ISNUMBER(((NºAsuntos!I13/NºAsuntos!G13)-Datos!BE13)/Datos!BE13),((NºAsuntos!I13/NºAsuntos!G13)-Datos!BE13)/Datos!BE13," - ")</f>
        <v>-5.8708984570867324E-2</v>
      </c>
      <c r="J13" s="1003">
        <f>IF(ISNUMBER((('Resol  Asuntos'!D13/NºAsuntos!G13)-Datos!BF13)/Datos!BF13),(('Resol  Asuntos'!D13/NºAsuntos!G13)-Datos!BF13)/Datos!BF13," - ")</f>
        <v>-0.56546736898491212</v>
      </c>
      <c r="K13" s="1003">
        <f>IF(ISNUMBER((((NºAsuntos!C13+NºAsuntos!E13)/NºAsuntos!G13)-Datos!BG13)/Datos!BG13),(((NºAsuntos!C13+NºAsuntos!E13)/NºAsuntos!G13)-Datos!BG13)/Datos!BG13," - ")</f>
        <v>-3.6628846891383376E-2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0.23083264633140974</v>
      </c>
      <c r="C15" s="472">
        <f>IF(ISNUMBER(
   IF(D_I="SI",(Datos!J15-Datos!T15)/Datos!T15,(Datos!J15+Datos!AD15-(Datos!T15+Datos!AL15))/(Datos!T15+Datos!AL15))
     ),IF(D_I="SI",(Datos!J15-Datos!T15)/Datos!T15,(Datos!J15+Datos!AD15-(Datos!T15+Datos!AL15))/(Datos!T15+Datos!AL15))," - ")</f>
        <v>4.2956120092378751E-2</v>
      </c>
      <c r="D15" s="472">
        <f>IF(ISNUMBER(
   IF(D_I="SI",(Datos!K15-Datos!U15)/Datos!U15,(Datos!K15+Datos!AE15-(Datos!U15+Datos!AM15))/(Datos!U15+Datos!AM15))
     ),IF(D_I="SI",(Datos!K15-Datos!U15)/Datos!U15,(Datos!K15+Datos!AE15-(Datos!U15+Datos!AM15))/(Datos!U15+Datos!AM15))," - ")</f>
        <v>-2.6501766784452298E-2</v>
      </c>
      <c r="E15" s="472">
        <f>IF(ISNUMBER(
   IF(D_I="SI",(Datos!L15-Datos!V15)/Datos!V15,(Datos!L15+Datos!AF15-(Datos!V15+Datos!AN15))/(Datos!V15+Datos!AN15))
     ),IF(D_I="SI",(Datos!L15-Datos!V15)/Datos!V15,(Datos!L15+Datos!AF15-(Datos!V15+Datos!AN15))/(Datos!V15+Datos!AN15))," - ")</f>
        <v>0.41202090592334495</v>
      </c>
      <c r="F15" s="472">
        <f>IF(ISNUMBER((Datos!M15-Datos!W15)/Datos!W15),(Datos!M15-Datos!W15)/Datos!W15," - ")</f>
        <v>-0.14285714285714285</v>
      </c>
      <c r="G15" s="473">
        <f>IF(ISNUMBER((Datos!N15-Datos!X15)/Datos!X15),(Datos!N15-Datos!X15)/Datos!X15," - ")</f>
        <v>0.12283894449499545</v>
      </c>
      <c r="H15" s="471">
        <f>IF(ISNUMBER(((NºAsuntos!G15/NºAsuntos!E15)-Datos!BD15)/Datos!BD15),((NºAsuntos!G15/NºAsuntos!E15)-Datos!BD15)/Datos!BD15," - ")</f>
        <v>-6.6597132457191788E-2</v>
      </c>
      <c r="I15" s="472">
        <f>IF(ISNUMBER(((NºAsuntos!I15/NºAsuntos!G15)-Datos!BE15)/Datos!BE15),((NºAsuntos!I15/NºAsuntos!G15)-Datos!BE15)/Datos!BE15," - ")</f>
        <v>0.45046067650202032</v>
      </c>
      <c r="J15" s="477">
        <f>IF(ISNUMBER((('Resol  Asuntos'!D15/NºAsuntos!G15)-Datos!BF15)/Datos!BF15),(('Resol  Asuntos'!D15/NºAsuntos!G15)-Datos!BF15)/Datos!BF15," - ")</f>
        <v>-0.1195229452942701</v>
      </c>
      <c r="K15" s="478">
        <f>IF(ISNUMBER((((NºAsuntos!C15+NºAsuntos!E15)/NºAsuntos!G15)-Datos!BG15)/Datos!BG15),(((NºAsuntos!C15+NºAsuntos!E15)/NºAsuntos!G15)-Datos!BG15)/Datos!BG15," - ")</f>
        <v>0.14064959667497284</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4.1666666666666664E-2</v>
      </c>
      <c r="C17" s="472">
        <f>IF(ISNUMBER(
   IF(D_I="SI",(Datos!J17-Datos!T17)/Datos!T17,(Datos!J17+Datos!AD17-(Datos!T17+Datos!AL17))/(Datos!T17+Datos!AL17))
     ),IF(D_I="SI",(Datos!J17-Datos!T17)/Datos!T17,(Datos!J17+Datos!AD17-(Datos!T17+Datos!AL17))/(Datos!T17+Datos!AL17))," - ")</f>
        <v>-4.1841004184100415E-3</v>
      </c>
      <c r="D17" s="472">
        <f>IF(ISNUMBER(
   IF(D_I="SI",(Datos!K17-Datos!U17)/Datos!U17,(Datos!K17+Datos!AE17-(Datos!U17+Datos!AM17))/(Datos!U17+Datos!AM17))
     ),IF(D_I="SI",(Datos!K17-Datos!U17)/Datos!U17,(Datos!K17+Datos!AE17-(Datos!U17+Datos!AM17))/(Datos!U17+Datos!AM17))," - ")</f>
        <v>4.2194092827004216E-3</v>
      </c>
      <c r="E17" s="472">
        <f>IF(ISNUMBER(
   IF(D_I="SI",(Datos!L17-Datos!V17)/Datos!V17,(Datos!L17+Datos!AF17-(Datos!V17+Datos!AN17))/(Datos!V17+Datos!AN17))
     ),IF(D_I="SI",(Datos!L17-Datos!V17)/Datos!V17,(Datos!L17+Datos!AF17-(Datos!V17+Datos!AN17))/(Datos!V17+Datos!AN17))," - ")</f>
        <v>2.0408163265306121E-2</v>
      </c>
      <c r="F17" s="472">
        <f>IF(ISNUMBER((Datos!M17-Datos!W17)/Datos!W17),(Datos!M17-Datos!W17)/Datos!W17," - ")</f>
        <v>-2.9411764705882353E-2</v>
      </c>
      <c r="G17" s="473">
        <f>IF(ISNUMBER((Datos!N17-Datos!X17)/Datos!X17),(Datos!N17-Datos!X17)/Datos!X17," - ")</f>
        <v>8.6956521739130432E-2</v>
      </c>
      <c r="H17" s="471">
        <f>IF(ISNUMBER(((NºAsuntos!G17/NºAsuntos!E17)-Datos!BD17)/Datos!BD17),((NºAsuntos!G17/NºAsuntos!E17)-Datos!BD17)/Datos!BD17," - ")</f>
        <v>8.4388185654008657E-3</v>
      </c>
      <c r="I17" s="472">
        <f>IF(ISNUMBER(((NºAsuntos!I17/NºAsuntos!G17)-Datos!BE17)/Datos!BE17),((NºAsuntos!I17/NºAsuntos!G17)-Datos!BE17)/Datos!BE17," - ")</f>
        <v>1.6120734007888882E-2</v>
      </c>
      <c r="J17" s="477">
        <f>IF(ISNUMBER((('Resol  Asuntos'!D17/NºAsuntos!G17)-Datos!BF17)/Datos!BF17),(('Resol  Asuntos'!D17/NºAsuntos!G17)-Datos!BF17)/Datos!BF17," - ")</f>
        <v>-3.3489866534849165E-2</v>
      </c>
      <c r="K17" s="478">
        <f>IF(ISNUMBER((((NºAsuntos!C17+NºAsuntos!E17)/NºAsuntos!G17)-Datos!BG17)/Datos!BG17),(((NºAsuntos!C17+NºAsuntos!E17)/NºAsuntos!G17)-Datos!BG17)/Datos!BG17," - ")</f>
        <v>4.7159162172331652E-3</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0.21695951107715813</v>
      </c>
      <c r="C18" s="1001">
        <f>IF(ISNUMBER(
   IF(Criterios!B14="SI",(Datos!J18-Datos!T18)/Datos!T18,(Datos!J18+Datos!AD18-(Datos!T18+Datos!AL18))/(Datos!T18+Datos!AL18))
     ),IF(Criterios!B14="SI",(Datos!J18-Datos!T18)/Datos!T18,(Datos!J18+Datos!AD18-(Datos!T18+Datos!AL18))/(Datos!T18+Datos!AL18))," - ")</f>
        <v>3.8269550748752081E-2</v>
      </c>
      <c r="D18" s="1001">
        <f>IF(ISNUMBER(
   IF(Criterios!B14="SI",(Datos!K18-Datos!U18)/Datos!U18,(Datos!K18+Datos!AE18-(Datos!U18+Datos!AM18))/(Datos!U18+Datos!AM18))
     ),IF(Criterios!B14="SI",(Datos!K18-Datos!U18)/Datos!U18,(Datos!K18+Datos!AE18-(Datos!U18+Datos!AM18))/(Datos!U18+Datos!AM18))," - ")</f>
        <v>-2.3590563774490203E-2</v>
      </c>
      <c r="E18" s="1001">
        <f>IF(ISNUMBER(
   IF(Criterios!B14="SI",(Datos!L18-Datos!V18)/Datos!V18,(Datos!L18+Datos!AF18-(Datos!V18+Datos!AN18))/(Datos!V18+Datos!AN18))
     ),IF(Criterios!B14="SI",(Datos!L18-Datos!V18)/Datos!V18,(Datos!L18+Datos!AF18-(Datos!V18+Datos!AN18))/(Datos!V18+Datos!AN18))," - ")</f>
        <v>0.3812199036918138</v>
      </c>
      <c r="F18" s="1002">
        <f>IF(ISNUMBER((Datos!M18-Datos!W18)/Datos!W18),(Datos!M18-Datos!W18)/Datos!W18," - ")</f>
        <v>-0.12770137524557956</v>
      </c>
      <c r="G18" s="1003">
        <f>IF(ISNUMBER((Datos!N18-Datos!X18)/Datos!X18),(Datos!N18-Datos!X18)/Datos!X18," - ")</f>
        <v>0.11825396825396825</v>
      </c>
      <c r="H18" s="1003">
        <f>IF(ISNUMBER(((NºAsuntos!G18/NºAsuntos!E18)-Datos!BD18)/Datos!BD18),((NºAsuntos!G18/NºAsuntos!E18)-Datos!BD18)/Datos!BD18," - ")</f>
        <v>-5.958001414818688E-2</v>
      </c>
      <c r="I18" s="1003">
        <f>IF(ISNUMBER(((NºAsuntos!I18/NºAsuntos!G18)-Datos!BE18)/Datos!BE18),((NºAsuntos!I18/NºAsuntos!G18)-Datos!BE18)/Datos!BE18," - ")</f>
        <v>0.41459090054595676</v>
      </c>
      <c r="J18" s="1003">
        <f>IF(ISNUMBER((('Resol  Asuntos'!D18/NºAsuntos!G18)-Datos!BF18)/Datos!BF18),(('Resol  Asuntos'!D18/NºAsuntos!G18)-Datos!BF18)/Datos!BF18," - ")</f>
        <v>-0.10662618324700834</v>
      </c>
      <c r="K18" s="1003">
        <f>IF(ISNUMBER((((NºAsuntos!C18+NºAsuntos!E18)/NºAsuntos!G18)-Datos!BG18)/Datos!BG18),(((NºAsuntos!C18+NºAsuntos!E18)/NºAsuntos!G18)-Datos!BG18)/Datos!BG18," - ")</f>
        <v>0.12787298230336216</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0.1385564018861081</v>
      </c>
      <c r="C19" s="948">
        <f>IF(ISNUMBER(
   IF(J_V="SI",(Datos!J19-Datos!T19)/Datos!T19,(Datos!J19+Datos!Z19-(Datos!T19+Datos!AH19))/(Datos!T19+Datos!AH19))
     ),IF(J_V="SI",(Datos!J19-Datos!T19)/Datos!T19,(Datos!J19+Datos!Z19-(Datos!T19+Datos!AH19))/(Datos!T19+Datos!AH19))," - ")</f>
        <v>9.5664563403215955E-2</v>
      </c>
      <c r="D19" s="948">
        <f>IF(ISNUMBER(
   IF(J_V="SI",(Datos!K19-Datos!U19)/Datos!U19,(Datos!K19+Datos!AA19-(Datos!U19+Datos!AI19))/(Datos!U19+Datos!AI19))
     ),IF(J_V="SI",(Datos!K19-Datos!U19)/Datos!U19,(Datos!K19+Datos!AA19-(Datos!U19+Datos!AI19))/(Datos!U19+Datos!AI19))," - ")</f>
        <v>7.3444066439863911E-2</v>
      </c>
      <c r="E19" s="948">
        <f>IF(ISNUMBER(
   IF(J_V="SI",(Datos!L19-Datos!V19)/Datos!V19,(Datos!L19+Datos!AB19-(Datos!V19+Datos!AJ19))/(Datos!V19+Datos!AJ19))
     ),IF(J_V="SI",(Datos!L19-Datos!V19)/Datos!V19,(Datos!L19+Datos!AB19-(Datos!V19+Datos!AJ19))/(Datos!V19+Datos!AJ19))," - ")</f>
        <v>0.16562957540263543</v>
      </c>
      <c r="F19" s="949">
        <f>IF(ISNUMBER((Datos!M19-Datos!W19)/Datos!W19),(Datos!M19-Datos!W19)/Datos!W19," - ")</f>
        <v>-7.9717457114026238E-2</v>
      </c>
      <c r="G19" s="950">
        <f>IF(ISNUMBER((Datos!N19-Datos!X19)/Datos!X19),(Datos!N19-Datos!X19)/Datos!X19," - ")</f>
        <v>0.14658726523133303</v>
      </c>
      <c r="H19" s="951">
        <f>IF(ISNUMBER((Tasas!B19-Datos!BD19)/Datos!BD19),(Tasas!B19-Datos!BD19)/Datos!BD19," - ")</f>
        <v>-2.0280382979927212E-2</v>
      </c>
      <c r="I19" s="952">
        <f>IF(ISNUMBER((Tasas!C19-Datos!BE19)/Datos!BE19),(Tasas!C19-Datos!BE19)/Datos!BE19," - ")</f>
        <v>8.5878260307041196E-2</v>
      </c>
      <c r="J19" s="953">
        <f>IF(ISNUMBER((Tasas!D19-Datos!BF19)/Datos!BF19),(Tasas!D19-Datos!BF19)/Datos!BF19," - ")</f>
        <v>-0.40545711007055824</v>
      </c>
      <c r="K19" s="953">
        <f>IF(ISNUMBER((Tasas!E19-Datos!BG19)/Datos!BG19),(Tasas!E19-Datos!BG19)/Datos!BG19," - ")</f>
        <v>4.1830343225694719E-2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0H9GDAPrGv87QwsMDXxawitXf76id/6IWIZuKXlJGnyn9ehg/CEUGr1qfiKDA8rCCU+fJ3Uy9R+79lZ7JYAOQQ==" saltValue="eYTAklpd/yK3x5PWHz+Ks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COMUNIDAD VALENCIANA</v>
      </c>
    </row>
    <row r="3" spans="1:7" ht="19.5">
      <c r="A3" s="452" t="s">
        <v>12</v>
      </c>
      <c r="B3" s="402" t="str">
        <f>Criterios!A10 &amp;"  "&amp;Criterios!B10</f>
        <v>Provincias  VALENCIA</v>
      </c>
    </row>
    <row r="4" spans="1:7" ht="11.25" customHeight="1" thickBot="1">
      <c r="B4" s="402" t="str">
        <f>Criterios!A11 &amp;"  "&amp;Criterios!B11</f>
        <v>Resumenes por Partidos Judiciales  GANDIA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1.0160895417978315</v>
      </c>
      <c r="C9" s="459">
        <f>IF(ISNUMBER(NºAsuntos!I9/NºAsuntos!G9),NºAsuntos!I9/NºAsuntos!G9," - ")</f>
        <v>1.5686746987951807</v>
      </c>
      <c r="D9" s="460">
        <f>IF(ISNUMBER('Resol  Asuntos'!D9/NºAsuntos!G9),'Resol  Asuntos'!D9/NºAsuntos!G9," - ")</f>
        <v>0.15834767641996558</v>
      </c>
      <c r="E9" s="461">
        <f>IF(ISNUMBER((NºAsuntos!C9+NºAsuntos!E9)/NºAsuntos!G9),(NºAsuntos!C9+NºAsuntos!E9)/NºAsuntos!G9," - ")</f>
        <v>2.5693631669535284</v>
      </c>
      <c r="G9" s="479"/>
    </row>
    <row r="10" spans="1:7">
      <c r="A10" s="413" t="str">
        <f>Datos!A10</f>
        <v>Jdos. Violencia contra la mujer</v>
      </c>
      <c r="B10" s="458">
        <f>IF(ISNUMBER(NºAsuntos!G10/NºAsuntos!E10),NºAsuntos!G10/NºAsuntos!E10," - ")</f>
        <v>0.6071428571428571</v>
      </c>
      <c r="C10" s="459">
        <f>IF(ISNUMBER(NºAsuntos!I10/NºAsuntos!G10),NºAsuntos!I10/NºAsuntos!G10," - ")</f>
        <v>5.3529411764705879</v>
      </c>
      <c r="D10" s="460">
        <f>IF(ISNUMBER('Resol  Asuntos'!D10/NºAsuntos!G10),'Resol  Asuntos'!D10/NºAsuntos!G10," - ")</f>
        <v>0.47058823529411764</v>
      </c>
      <c r="E10" s="461">
        <f>IF(ISNUMBER((NºAsuntos!C10+NºAsuntos!E10)/NºAsuntos!G10),(NºAsuntos!C10+NºAsuntos!E10)/NºAsuntos!G10," - ")</f>
        <v>6.3529411764705879</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1.0121233113959127</v>
      </c>
      <c r="C13" s="1005">
        <f>IF(ISNUMBER(NºAsuntos!I13/NºAsuntos!G13),NºAsuntos!I13/NºAsuntos!G13," - ")</f>
        <v>1.5906913073237507</v>
      </c>
      <c r="D13" s="1006">
        <f>IF(ISNUMBER('Resol  Asuntos'!D13/NºAsuntos!G13),'Resol  Asuntos'!D13/NºAsuntos!G13," - ")</f>
        <v>0.16016427104722791</v>
      </c>
      <c r="E13" s="1007">
        <f>IF(ISNUMBER((NºAsuntos!C13+NºAsuntos!E13)/NºAsuntos!G13),(NºAsuntos!C13+NºAsuntos!E13)/NºAsuntos!G13," - ")</f>
        <v>2.5913757700205338</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0.97608503100088573</v>
      </c>
      <c r="C15" s="459">
        <f>IF(ISNUMBER(NºAsuntos!I15/NºAsuntos!G15),NºAsuntos!I15/NºAsuntos!G15," - ")</f>
        <v>0.73548094373865702</v>
      </c>
      <c r="D15" s="460">
        <f>IF(ISNUMBER('Resol  Asuntos'!D15/NºAsuntos!G15),'Resol  Asuntos'!D15/NºAsuntos!G15," - ")</f>
        <v>0.17150635208711434</v>
      </c>
      <c r="E15" s="461">
        <f>IF(ISNUMBER((NºAsuntos!C15+NºAsuntos!E15)/NºAsuntos!G15),(NºAsuntos!C15+NºAsuntos!E15)/NºAsuntos!G15," - ")</f>
        <v>1.7019056261343013</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1</v>
      </c>
      <c r="C17" s="459">
        <f>IF(ISNUMBER(NºAsuntos!I17/NºAsuntos!G17),NºAsuntos!I17/NºAsuntos!G17," - ")</f>
        <v>0.42016806722689076</v>
      </c>
      <c r="D17" s="460">
        <f>IF(ISNUMBER('Resol  Asuntos'!D17/NºAsuntos!G17),'Resol  Asuntos'!D17/NºAsuntos!G17," - ")</f>
        <v>0.27731092436974791</v>
      </c>
      <c r="E17" s="461">
        <f>IF(ISNUMBER((NºAsuntos!C17+NºAsuntos!E17)/NºAsuntos!G17),(NºAsuntos!C17+NºAsuntos!E17)/NºAsuntos!G17," - ")</f>
        <v>1.4201680672268908</v>
      </c>
      <c r="G17" s="479"/>
    </row>
    <row r="18" spans="1:7" ht="14.25" thickTop="1" thickBot="1">
      <c r="A18" s="994" t="str">
        <f>Datos!A18</f>
        <v>TOTAL</v>
      </c>
      <c r="B18" s="1004">
        <f>IF(ISNUMBER(NºAsuntos!G18/NºAsuntos!E18),NºAsuntos!G18/NºAsuntos!E18," - ")</f>
        <v>0.97836538461538458</v>
      </c>
      <c r="C18" s="1005">
        <f>IF(ISNUMBER(NºAsuntos!I18/NºAsuntos!G18),NºAsuntos!I18/NºAsuntos!G18," - ")</f>
        <v>0.70475020475020478</v>
      </c>
      <c r="D18" s="1008">
        <f>IF(ISNUMBER('Resol  Asuntos'!D18/NºAsuntos!G18),'Resol  Asuntos'!D18/NºAsuntos!G18," - ")</f>
        <v>0.18181818181818182</v>
      </c>
      <c r="E18" s="1007">
        <f>IF(ISNUMBER((NºAsuntos!C18+NºAsuntos!E18)/NºAsuntos!G18),(NºAsuntos!C18+NºAsuntos!E18)/NºAsuntos!G18," - ")</f>
        <v>1.6744471744471745</v>
      </c>
      <c r="G18" s="479"/>
    </row>
    <row r="19" spans="1:7" ht="15.75" customHeight="1" thickTop="1" thickBot="1">
      <c r="A19" s="939" t="str">
        <f>Datos!A19</f>
        <v>TOTAL JURISDICCIONES</v>
      </c>
      <c r="B19" s="954">
        <f>IF(ISNUMBER(NºAsuntos!G19/NºAsuntos!E19),NºAsuntos!G19/NºAsuntos!E19," - ")</f>
        <v>0.99647036968233327</v>
      </c>
      <c r="C19" s="955">
        <f>IF(ISNUMBER(NºAsuntos!I19/NºAsuntos!G19),NºAsuntos!I19/NºAsuntos!G19," - ")</f>
        <v>1.1873601789709172</v>
      </c>
      <c r="D19" s="956">
        <f>IF(ISNUMBER('Resol  Asuntos'!D19/NºAsuntos!G19),'Resol  Asuntos'!D19/NºAsuntos!G19," - ")</f>
        <v>0.17002237136465326</v>
      </c>
      <c r="E19" s="957">
        <f>IF(ISNUMBER((NºAsuntos!C19+NºAsuntos!E19)/NºAsuntos!G19),(NºAsuntos!C19+NºAsuntos!E19)/NºAsuntos!G19," - ")</f>
        <v>2.1739373601789711</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QJgYi9/R3P4KURRh/l0X1qkfRrYfO1ifKF5JIET1izWkDfxkjlqq95D7xLNp6fgZUmSLcGSJT0Nq/jfvrYdezg==" saltValue="0M97uyFYsygL6TR8sPEp6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COMUNIDAD VALENCIANA</v>
      </c>
      <c r="G2" s="339"/>
      <c r="H2" s="338"/>
      <c r="I2" s="338"/>
      <c r="J2" s="338"/>
      <c r="K2" s="338"/>
      <c r="L2" s="338" t="str">
        <f>Criterios!A10 &amp;"  "&amp;Criterios!B10</f>
        <v>Provincias  VALENCIA</v>
      </c>
      <c r="N2" s="338" t="str">
        <f>Criterios!A11 &amp;"  "&amp;Criterios!B11</f>
        <v>Resumenes por Partidos Judiciales  GANDIA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6</v>
      </c>
      <c r="B9" s="181" t="s">
        <v>249</v>
      </c>
      <c r="C9" s="164" t="str">
        <f>Datos!A9</f>
        <v xml:space="preserve">Jdos. 1ª Instancia   </v>
      </c>
      <c r="D9" s="164"/>
      <c r="E9" s="1201">
        <f>IF(ISNUMBER(Datos!AQ9),Datos!AQ9," - ")</f>
        <v>6</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499</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600</v>
      </c>
      <c r="Y9" s="343">
        <f>SUM(W9:X9)</f>
        <v>600</v>
      </c>
      <c r="Z9" s="344" t="str">
        <f>IF(ISNUMBER(Datos!CC9),Datos!CC9," - ")</f>
        <v xml:space="preserve"> - </v>
      </c>
      <c r="AA9" s="341" t="str">
        <f>IF(ISNUMBER(IF(J_V="SI",Datos!L9,Datos!L9+Datos!AB9)-IF(Monitorios="SI",Datos!CD9,0)),
                          IF(J_V="SI",Datos!L9,Datos!L9+Datos!AB9)-IF(Monitorios="SI",Datos!CD9,0),
                          " - ")</f>
        <v xml:space="preserve"> - </v>
      </c>
      <c r="AB9" s="343">
        <f>IF(ISNUMBER(Datos!R9),Datos!R9," - ")</f>
        <v>8022</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460</v>
      </c>
      <c r="AJ9" s="233" t="str">
        <f>IF(ISNUMBER(Datos!BW9),Datos!BW9," - ")</f>
        <v xml:space="preserve"> - </v>
      </c>
      <c r="AK9" s="232" t="str">
        <f>IF(ISNUMBER(Datos!BX9),Datos!BX9," - ")</f>
        <v xml:space="preserve"> - </v>
      </c>
      <c r="AL9" s="247">
        <f>IF(ISNUMBER(NºAsuntos!G9/NºAsuntos!E9),NºAsuntos!G9/NºAsuntos!E9," - ")</f>
        <v>1.0160895417978315</v>
      </c>
      <c r="AM9" s="264">
        <f>IF(ISNUMBER(((NºAsuntos!I9/NºAsuntos!G9)*11)/factor_trimestre),((NºAsuntos!I9/NºAsuntos!G9)*11)/factor_trimestre," - ")</f>
        <v>4.7060240963855424</v>
      </c>
      <c r="AN9" s="248">
        <f>IF(ISNUMBER('Resol  Asuntos'!D9/NºAsuntos!G9),'Resol  Asuntos'!D9/NºAsuntos!G9," - ")</f>
        <v>0.15834767641996558</v>
      </c>
      <c r="AO9" s="249">
        <f>IF(ISNUMBER((NºAsuntos!C9+NºAsuntos!E9)/NºAsuntos!G9),(NºAsuntos!C9+NºAsuntos!E9)/NºAsuntos!G9," - ")</f>
        <v>2.5693631669535284</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1</v>
      </c>
      <c r="F10" s="229">
        <f>IF(ISNUMBER(Datos!L10+Datos!K10-Datos!J10-K10),Datos!L10+Datos!K10-Datos!J10-K10," - ")</f>
        <v>80</v>
      </c>
      <c r="G10" s="342">
        <f>IF(ISNUMBER(Datos!I10),Datos!I10," - ")</f>
        <v>80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7</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17</v>
      </c>
      <c r="X10" s="230">
        <f>IF(ISNUMBER(Datos!Q10),Datos!Q10," - ")</f>
        <v>6</v>
      </c>
      <c r="Y10" s="343">
        <f t="shared" ref="Y10:Y12" si="0">SUM(W10:X10)</f>
        <v>23</v>
      </c>
      <c r="Z10" s="344" t="str">
        <f>IF(ISNUMBER(Datos!CC10),Datos!CC10," - ")</f>
        <v xml:space="preserve"> - </v>
      </c>
      <c r="AA10" s="341">
        <f>IF(ISNUMBER(Datos!L10),Datos!L10,"-")</f>
        <v>91</v>
      </c>
      <c r="AB10" s="343">
        <f>IF(ISNUMBER(Datos!R10),Datos!R10," - ")</f>
        <v>67</v>
      </c>
      <c r="AC10" s="343">
        <f t="shared" ref="AC10:AC12" si="1">IF(ISNUMBER(AA10+AB10),AA10+AB10," - ")</f>
        <v>158</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8</v>
      </c>
      <c r="AJ10" s="235" t="str">
        <f>IF(ISNUMBER(Datos!BW10),Datos!BW10," - ")</f>
        <v xml:space="preserve"> - </v>
      </c>
      <c r="AK10" s="236" t="str">
        <f>IF(ISNUMBER(Datos!BX10),Datos!BX10," - ")</f>
        <v xml:space="preserve"> - </v>
      </c>
      <c r="AL10" s="247">
        <f>IF(ISNUMBER(NºAsuntos!G10/NºAsuntos!E10),NºAsuntos!G10/NºAsuntos!E10," - ")</f>
        <v>0.6071428571428571</v>
      </c>
      <c r="AM10" s="264">
        <f>IF(ISNUMBER(((NºAsuntos!I10/NºAsuntos!G10)*11)/factor_trimestre),((NºAsuntos!I10/NºAsuntos!G10)*11)/factor_trimestre," - ")</f>
        <v>16.058823529411764</v>
      </c>
      <c r="AN10" s="248">
        <f>IF(ISNUMBER('Resol  Asuntos'!D10/NºAsuntos!G10),'Resol  Asuntos'!D10/NºAsuntos!G10," - ")</f>
        <v>0.47058823529411764</v>
      </c>
      <c r="AO10" s="249">
        <f>IF(ISNUMBER((NºAsuntos!C10+NºAsuntos!E10)/NºAsuntos!G10),(NºAsuntos!C10+NºAsuntos!E10)/NºAsuntos!G10," - ")</f>
        <v>6.3529411764705879</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0</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279</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0</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7</v>
      </c>
      <c r="F13" s="1011">
        <f t="shared" si="3"/>
        <v>80</v>
      </c>
      <c r="G13" s="1012">
        <f t="shared" si="3"/>
        <v>80</v>
      </c>
      <c r="H13" s="1011">
        <f t="shared" si="3"/>
        <v>0</v>
      </c>
      <c r="I13" s="1013">
        <f t="shared" si="3"/>
        <v>0</v>
      </c>
      <c r="J13" s="1013">
        <f t="shared" si="3"/>
        <v>0</v>
      </c>
      <c r="K13" s="1013">
        <f t="shared" si="3"/>
        <v>0</v>
      </c>
      <c r="L13" s="1013">
        <f t="shared" si="3"/>
        <v>506</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17</v>
      </c>
      <c r="X13" s="1013">
        <f t="shared" si="4"/>
        <v>606</v>
      </c>
      <c r="Y13" s="1014">
        <f t="shared" si="4"/>
        <v>623</v>
      </c>
      <c r="Z13" s="1014">
        <f t="shared" si="4"/>
        <v>0</v>
      </c>
      <c r="AA13" s="1014">
        <f t="shared" si="4"/>
        <v>91</v>
      </c>
      <c r="AB13" s="1014">
        <f t="shared" si="4"/>
        <v>8368</v>
      </c>
      <c r="AC13" s="1014">
        <f t="shared" si="4"/>
        <v>158</v>
      </c>
      <c r="AD13" s="1014">
        <f t="shared" si="4"/>
        <v>0</v>
      </c>
      <c r="AE13" s="1018">
        <f t="shared" si="4"/>
        <v>0</v>
      </c>
      <c r="AF13" s="1011">
        <f t="shared" si="4"/>
        <v>0</v>
      </c>
      <c r="AG13" s="1019">
        <f t="shared" si="4"/>
        <v>0</v>
      </c>
      <c r="AH13" s="1016">
        <f t="shared" si="4"/>
        <v>0</v>
      </c>
      <c r="AI13" s="1011">
        <f t="shared" si="4"/>
        <v>468</v>
      </c>
      <c r="AJ13" s="1013">
        <f t="shared" si="4"/>
        <v>0</v>
      </c>
      <c r="AK13" s="1016">
        <f>SUBTOTAL(9,AK9:AK12)</f>
        <v>0</v>
      </c>
      <c r="AL13" s="1020">
        <f>IF(ISNUMBER(NºAsuntos!G13/NºAsuntos!E13),NºAsuntos!G13/NºAsuntos!E13," - ")</f>
        <v>1.0121233113959127</v>
      </c>
      <c r="AM13" s="1020">
        <f>IF(ISNUMBER(((NºAsuntos!I13/NºAsuntos!G13)*11)/factor_trimestre),((NºAsuntos!I13/NºAsuntos!G13)*11)/factor_trimestre," - ")</f>
        <v>4.7720739219712529</v>
      </c>
      <c r="AN13" s="1021">
        <f>IF(ISNUMBER('Resol  Asuntos'!D13/NºAsuntos!G13),'Resol  Asuntos'!D13/NºAsuntos!G13," - ")</f>
        <v>0.16016427104722791</v>
      </c>
      <c r="AO13" s="1022">
        <f>IF(ISNUMBER((NºAsuntos!C13+NºAsuntos!E13)/NºAsuntos!G13),(NºAsuntos!C13+NºAsuntos!E13)/NºAsuntos!G13," - ")</f>
        <v>2.5913757700205338</v>
      </c>
      <c r="AP13" s="1023" t="str">
        <f t="shared" si="2"/>
        <v xml:space="preserve"> - </v>
      </c>
      <c r="AQ13" s="1023">
        <f>IF(ISNUMBER((H13-W13+K13)/(F13)),(H13-W13+K13)/(F13)," - ")</f>
        <v>-0.21249999999999999</v>
      </c>
      <c r="AR13" s="1024">
        <f>IF(ISNUMBER((Datos!P13-Datos!Q13)/(Datos!R13-Datos!P13+Datos!Q13)),(Datos!P13-Datos!Q13)/(Datos!R13-Datos!P13+Datos!Q13)," - ")</f>
        <v>-1.1809163911195087E-2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3</v>
      </c>
      <c r="B15" s="279" t="s">
        <v>400</v>
      </c>
      <c r="C15" s="164" t="str">
        <f>Datos!A15</f>
        <v xml:space="preserve">Jdos. Instrucción                               </v>
      </c>
      <c r="D15" s="164"/>
      <c r="E15" s="1201">
        <f>IF(ISNUMBER(Datos!AQ15),Datos!AQ15," - ")</f>
        <v>3</v>
      </c>
      <c r="F15" s="229">
        <f>IF(ISNUMBER(AA15+W15-Datos!J15-K15),AA15+W15-Datos!J15-K15," - ")</f>
        <v>1567</v>
      </c>
      <c r="G15" s="342">
        <f>IF(ISNUMBER(IF(D_I="SI",Datos!I15,Datos!I15+Datos!AC15)),IF(D_I="SI",Datos!I15,Datos!I15+Datos!AC15)," - ")</f>
        <v>1493</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111</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2204</v>
      </c>
      <c r="X15" s="230">
        <f>IF(ISNUMBER(Datos!Q15),Datos!Q15," - ")</f>
        <v>125</v>
      </c>
      <c r="Y15" s="343">
        <f>SUM(W15)</f>
        <v>2204</v>
      </c>
      <c r="Z15" s="344" t="str">
        <f>IF(ISNUMBER(Datos!CC15),Datos!CC15," - ")</f>
        <v xml:space="preserve"> - </v>
      </c>
      <c r="AA15" s="341">
        <f>IF(ISNUMBER(IF(D_I="SI",Datos!L15,Datos!L15+Datos!AF15)),IF(D_I="SI",Datos!L15,Datos!L15+Datos!AF15)," - ")</f>
        <v>1621</v>
      </c>
      <c r="AB15" s="343">
        <f>IF(ISNUMBER(Datos!R15),Datos!R15," - ")</f>
        <v>347</v>
      </c>
      <c r="AC15" s="343">
        <f t="shared" ref="AC15:AC17" si="6">IF(ISNUMBER(AA15+AB15),AA15+AB15," - ")</f>
        <v>1968</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378</v>
      </c>
      <c r="AJ15" s="235" t="str">
        <f>IF(ISNUMBER(Datos!BW15),Datos!BW15," - ")</f>
        <v xml:space="preserve"> - </v>
      </c>
      <c r="AK15" s="236" t="str">
        <f>IF(ISNUMBER(Datos!BX15),Datos!BX15," - ")</f>
        <v xml:space="preserve"> - </v>
      </c>
      <c r="AL15" s="247">
        <f>IF(ISNUMBER(NºAsuntos!G15/NºAsuntos!E15),NºAsuntos!G15/NºAsuntos!E15," - ")</f>
        <v>0.97608503100088573</v>
      </c>
      <c r="AM15" s="264">
        <f>IF(ISNUMBER(((NºAsuntos!I15/NºAsuntos!G15)*11)/factor_trimestre),((NºAsuntos!I15/NºAsuntos!G15)*11)/factor_trimestre," - ")</f>
        <v>2.2064428312159712</v>
      </c>
      <c r="AN15" s="248">
        <f>IF(ISNUMBER('Resol  Asuntos'!D15/NºAsuntos!G15),'Resol  Asuntos'!D15/NºAsuntos!G15," - ")</f>
        <v>0.17150635208711434</v>
      </c>
      <c r="AO15" s="249">
        <f>IF(ISNUMBER((NºAsuntos!C15+NºAsuntos!E15)/NºAsuntos!G15),(NºAsuntos!C15+NºAsuntos!E15)/NºAsuntos!G15," - ")</f>
        <v>1.7019056261343013</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100</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14</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238</v>
      </c>
      <c r="X17" s="230">
        <f>IF(ISNUMBER(Datos!Q17),Datos!Q17," - ")</f>
        <v>14</v>
      </c>
      <c r="Y17" s="343">
        <f t="shared" si="7"/>
        <v>252</v>
      </c>
      <c r="Z17" s="344" t="str">
        <f>IF(ISNUMBER(Datos!CC17),Datos!CC17," - ")</f>
        <v xml:space="preserve"> - </v>
      </c>
      <c r="AA17" s="341">
        <f>IF(ISNUMBER(Datos!L17),Datos!L17,"-")</f>
        <v>100</v>
      </c>
      <c r="AB17" s="343">
        <f>IF(ISNUMBER(Datos!R17),Datos!R17," - ")</f>
        <v>26</v>
      </c>
      <c r="AC17" s="343">
        <f t="shared" si="6"/>
        <v>126</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66</v>
      </c>
      <c r="AJ17" s="235" t="str">
        <f>IF(ISNUMBER(Datos!BW17),Datos!BW17," - ")</f>
        <v xml:space="preserve"> - </v>
      </c>
      <c r="AK17" s="236" t="str">
        <f>IF(ISNUMBER(Datos!BX17),Datos!BX17," - ")</f>
        <v xml:space="preserve"> - </v>
      </c>
      <c r="AL17" s="247">
        <f>IF(ISNUMBER(NºAsuntos!G17/NºAsuntos!E17),NºAsuntos!G17/NºAsuntos!E17," - ")</f>
        <v>1</v>
      </c>
      <c r="AM17" s="264">
        <f>IF(ISNUMBER(((NºAsuntos!I17/NºAsuntos!G17)*11)/factor_trimestre),((NºAsuntos!I17/NºAsuntos!G17)*11)/factor_trimestre," - ")</f>
        <v>1.2605042016806725</v>
      </c>
      <c r="AN17" s="248">
        <f>IF(ISNUMBER('Resol  Asuntos'!D17/NºAsuntos!G17),'Resol  Asuntos'!D17/NºAsuntos!G17," - ")</f>
        <v>0.27731092436974791</v>
      </c>
      <c r="AO17" s="249">
        <f>IF(ISNUMBER((NºAsuntos!C17+NºAsuntos!E17)/NºAsuntos!G17),(NºAsuntos!C17+NºAsuntos!E17)/NºAsuntos!G17," - ")</f>
        <v>1.4201680672268908</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4</v>
      </c>
      <c r="F18" s="1011">
        <f>SUBTOTAL(9,F14:F17)</f>
        <v>1567</v>
      </c>
      <c r="G18" s="1012">
        <f>SUBTOTAL(9,G15:G17)</f>
        <v>1593</v>
      </c>
      <c r="H18" s="1011">
        <f t="shared" ref="H18:O18" si="10">SUBTOTAL(9,H14:H17)</f>
        <v>0</v>
      </c>
      <c r="I18" s="1013">
        <f t="shared" si="10"/>
        <v>0</v>
      </c>
      <c r="J18" s="1013">
        <f t="shared" si="10"/>
        <v>0</v>
      </c>
      <c r="K18" s="1013">
        <f t="shared" si="10"/>
        <v>0</v>
      </c>
      <c r="L18" s="1013">
        <f t="shared" si="10"/>
        <v>125</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2442</v>
      </c>
      <c r="X18" s="1013">
        <f t="shared" si="11"/>
        <v>139</v>
      </c>
      <c r="Y18" s="1014">
        <f t="shared" si="11"/>
        <v>2456</v>
      </c>
      <c r="Z18" s="1014">
        <f t="shared" si="11"/>
        <v>0</v>
      </c>
      <c r="AA18" s="1014">
        <f t="shared" si="11"/>
        <v>1721</v>
      </c>
      <c r="AB18" s="1014">
        <f t="shared" si="11"/>
        <v>373</v>
      </c>
      <c r="AC18" s="1014">
        <f t="shared" si="11"/>
        <v>2094</v>
      </c>
      <c r="AD18" s="1014">
        <f t="shared" si="11"/>
        <v>0</v>
      </c>
      <c r="AE18" s="1018">
        <f t="shared" si="11"/>
        <v>0</v>
      </c>
      <c r="AF18" s="1011">
        <f t="shared" si="11"/>
        <v>0</v>
      </c>
      <c r="AG18" s="1019">
        <f t="shared" si="11"/>
        <v>0</v>
      </c>
      <c r="AH18" s="1016">
        <f t="shared" si="11"/>
        <v>0</v>
      </c>
      <c r="AI18" s="1011">
        <f t="shared" si="11"/>
        <v>444</v>
      </c>
      <c r="AJ18" s="1013">
        <f t="shared" si="11"/>
        <v>0</v>
      </c>
      <c r="AK18" s="1016">
        <f t="shared" si="11"/>
        <v>0</v>
      </c>
      <c r="AL18" s="1020">
        <f>IF(ISNUMBER(NºAsuntos!G18/NºAsuntos!E18),NºAsuntos!G18/NºAsuntos!E18," - ")</f>
        <v>0.97836538461538458</v>
      </c>
      <c r="AM18" s="1020">
        <f>IF(ISNUMBER(((NºAsuntos!I18/NºAsuntos!G18)*11)/factor_trimestre),((NºAsuntos!I18/NºAsuntos!G18)*11)/factor_trimestre," - ")</f>
        <v>2.1142506142506146</v>
      </c>
      <c r="AN18" s="1021">
        <f>IF(ISNUMBER('Resol  Asuntos'!D18/NºAsuntos!G18),'Resol  Asuntos'!D18/NºAsuntos!G18," - ")</f>
        <v>0.18181818181818182</v>
      </c>
      <c r="AO18" s="1022">
        <f>IF(ISNUMBER((NºAsuntos!C18+NºAsuntos!E18)/NºAsuntos!G18),(NºAsuntos!C18+NºAsuntos!E18)/NºAsuntos!G18," - ")</f>
        <v>1.6744471744471745</v>
      </c>
      <c r="AP18" s="1023" t="str">
        <f t="shared" si="2"/>
        <v xml:space="preserve"> - </v>
      </c>
      <c r="AQ18" s="1023">
        <f>IF(ISNUMBER((H18-W18+K18)/(F18)),(H18-W18+K18)/(F18)," - ")</f>
        <v>-1.5583918315252074</v>
      </c>
      <c r="AR18" s="1024">
        <f>IF(ISNUMBER((Datos!P18-Datos!Q18)/(Datos!R18-Datos!P18+Datos!Q18)),(Datos!P18-Datos!Q18)/(Datos!R18-Datos!P18+Datos!Q18)," - ")</f>
        <v>-3.6175710594315243E-2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11</v>
      </c>
      <c r="F19" s="966">
        <f t="shared" si="13"/>
        <v>1647</v>
      </c>
      <c r="G19" s="967">
        <f t="shared" si="13"/>
        <v>1673</v>
      </c>
      <c r="H19" s="966">
        <f t="shared" si="13"/>
        <v>0</v>
      </c>
      <c r="I19" s="968">
        <f t="shared" si="13"/>
        <v>0</v>
      </c>
      <c r="J19" s="968">
        <f t="shared" si="13"/>
        <v>0</v>
      </c>
      <c r="K19" s="1027">
        <f t="shared" si="13"/>
        <v>0</v>
      </c>
      <c r="L19" s="968">
        <f t="shared" si="13"/>
        <v>631</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2459</v>
      </c>
      <c r="X19" s="967">
        <f t="shared" si="14"/>
        <v>745</v>
      </c>
      <c r="Y19" s="974">
        <f t="shared" si="14"/>
        <v>3079</v>
      </c>
      <c r="Z19" s="974">
        <f t="shared" si="14"/>
        <v>0</v>
      </c>
      <c r="AA19" s="974">
        <f t="shared" si="14"/>
        <v>1812</v>
      </c>
      <c r="AB19" s="974">
        <f t="shared" si="14"/>
        <v>8741</v>
      </c>
      <c r="AC19" s="974">
        <f t="shared" si="14"/>
        <v>2252</v>
      </c>
      <c r="AD19" s="974">
        <f t="shared" si="14"/>
        <v>0</v>
      </c>
      <c r="AE19" s="976">
        <f t="shared" si="14"/>
        <v>0</v>
      </c>
      <c r="AF19" s="977">
        <f t="shared" si="14"/>
        <v>0</v>
      </c>
      <c r="AG19" s="978">
        <f t="shared" si="14"/>
        <v>0</v>
      </c>
      <c r="AH19" s="976">
        <f t="shared" si="14"/>
        <v>0</v>
      </c>
      <c r="AI19" s="966">
        <f t="shared" si="14"/>
        <v>912</v>
      </c>
      <c r="AJ19" s="966">
        <f t="shared" si="14"/>
        <v>0</v>
      </c>
      <c r="AK19" s="976">
        <f t="shared" si="14"/>
        <v>0</v>
      </c>
      <c r="AL19" s="1030">
        <f>IF(ISNUMBER(NºAsuntos!G19/NºAsuntos!E19),NºAsuntos!G19/NºAsuntos!E19," - ")</f>
        <v>0.99647036968233327</v>
      </c>
      <c r="AM19" s="1031">
        <f>IF(ISNUMBER(((NºAsuntos!I19/NºAsuntos!G19)*11)/factor_trimestre),((NºAsuntos!I19/NºAsuntos!G19)*11)/factor_trimestre," - ")</f>
        <v>3.5620805369127519</v>
      </c>
      <c r="AN19" s="1031">
        <f>IF(ISNUMBER('Resol  Asuntos'!D19/NºAsuntos!G19),'Resol  Asuntos'!D19/NºAsuntos!G19," - ")</f>
        <v>0.17002237136465326</v>
      </c>
      <c r="AO19" s="1032">
        <f>IF(ISNUMBER((NºAsuntos!C19+NºAsuntos!E19)/NºAsuntos!G19),(NºAsuntos!C19+NºAsuntos!E19)/NºAsuntos!G19," - ")</f>
        <v>2.1739373601789711</v>
      </c>
      <c r="AP19" s="1033" t="str">
        <f t="shared" si="2"/>
        <v xml:space="preserve"> - </v>
      </c>
      <c r="AQ19" s="1034">
        <f>IF(OR(ISNUMBER(FIND("01",Criterios!A8,1)),ISNUMBER(FIND("02",Criterios!A8,1)),ISNUMBER(FIND("03",Criterios!A8,1)),ISNUMBER(FIND("04",Criterios!A8,1))),(I19-W19+K19)/(F19-K19),(H19-W19+K19)/(F19-K19))</f>
        <v>-1.4930176077717061</v>
      </c>
      <c r="AR19" s="1035">
        <f>IF(ISNUMBER((Datos!P19-Datos!Q19)/(Datos!R19-Datos!P19+Datos!Q19)),(Datos!P19-Datos!Q19)/(Datos!R19-Datos!P19+Datos!Q19)," - ")</f>
        <v>-1.2874082439299831E-2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669.2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2.6977356760397742</v>
      </c>
      <c r="F21" s="256">
        <f>IF(ISNUMBER(STDEV(F8:F18)),STDEV(F8:F18),"-")</f>
        <v>858.51985028497359</v>
      </c>
      <c r="G21" s="257">
        <f>IF(ISNUMBER(STDEV(G8:G18)),STDEV(G8:G18),"-")</f>
        <v>798.49151529618644</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1228.9077670842512</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223.52543266397907</v>
      </c>
      <c r="AJ21" s="256">
        <f t="shared" si="18"/>
        <v>0</v>
      </c>
      <c r="AK21" s="258">
        <f t="shared" si="18"/>
        <v>0</v>
      </c>
      <c r="AL21" s="253">
        <f t="shared" si="18"/>
        <v>0.15983703951365397</v>
      </c>
      <c r="AM21" s="254">
        <f t="shared" si="18"/>
        <v>5.5198355934372136</v>
      </c>
      <c r="AN21" s="254">
        <f t="shared" si="18"/>
        <v>0.1229731254874887</v>
      </c>
      <c r="AO21" s="255">
        <f t="shared" si="18"/>
        <v>1.8469835491859332</v>
      </c>
      <c r="AP21" s="295" t="str">
        <f t="shared" si="18"/>
        <v>-</v>
      </c>
      <c r="AQ21" s="296">
        <f t="shared" si="18"/>
        <v>0.95168924081505657</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QoHVTkjbgwpZFDvHJpDFqELBiB7VefwtvpPJCxMJLMXYGBy8iAoROj4M6O0sBiGFRhBMZTS0afnpOCP4clxtew==" saltValue="X5B3Uy+R5cb6QvO/C4hHF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COMUNIDAD VALENCIANA</v>
      </c>
      <c r="E2" s="267"/>
    </row>
    <row r="3" spans="2:20" ht="17.25" customHeight="1">
      <c r="C3" s="271"/>
      <c r="D3" s="266" t="str">
        <f>Criterios!A10 &amp;"  "&amp;Criterios!B10</f>
        <v>Provincias  VALENCIA</v>
      </c>
      <c r="E3" s="267"/>
    </row>
    <row r="4" spans="2:20" ht="17.25" customHeight="1" thickBot="1">
      <c r="D4" s="266" t="str">
        <f>Criterios!A11 &amp;"  "&amp;Criterios!B11</f>
        <v>Resumenes por Partidos Judiciales  GANDIA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-2.748414376321353E-2</v>
      </c>
      <c r="I9" s="359">
        <f>IF(ISNUMBER((Tasas!C9-Datos!BE9)/Datos!BE9),(Tasas!C9-Datos!BE9)/Datos!BE9," - ")</f>
        <v>-7.0832972176475717E-2</v>
      </c>
      <c r="J9" s="358">
        <f>IF(ISNUMBER((Tasas!D9-Datos!BF9)/Datos!BF9),(Tasas!D9-Datos!BF9)/Datos!BF9," - ")</f>
        <v>-0.57067095416321079</v>
      </c>
      <c r="K9" s="360">
        <f>IF(ISNUMBER((Tasas!E9-Datos!BG9)/Datos!BG9),(Tasas!E9-Datos!BG9)/Datos!BG9," - ")</f>
        <v>-4.4227858076021836E-2</v>
      </c>
      <c r="M9" t="e">
        <f>IF(Monitorios="SI",Datos!CE9,0)</f>
        <v>#REF!</v>
      </c>
      <c r="N9" t="e">
        <f>IF(Monitorios="SI",Datos!CF9,0)</f>
        <v>#REF!</v>
      </c>
      <c r="O9" t="e">
        <f>IF(Monitorios="SI",Datos!CG9,0)</f>
        <v>#REF!</v>
      </c>
      <c r="P9" t="e">
        <f>IF(Monitorios="SI",Datos!CH9,0)</f>
        <v>#REF!</v>
      </c>
      <c r="Q9">
        <f>IF(J_V="SI",0,Datos!AG9)</f>
        <v>239</v>
      </c>
      <c r="R9">
        <f>IF(J_V="SI",0,Datos!AH9)</f>
        <v>226</v>
      </c>
      <c r="S9">
        <f>IF(J_V="SI",0,Datos!AI9)</f>
        <v>239</v>
      </c>
      <c r="T9">
        <f>IF(J_V="SI",0,Datos!AJ9)</f>
        <v>226</v>
      </c>
    </row>
    <row r="10" spans="2:20" ht="14.25">
      <c r="B10" s="279" t="s">
        <v>249</v>
      </c>
      <c r="C10" s="7" t="str">
        <f>Datos!A10</f>
        <v>Jdos. Violencia contra la mujer</v>
      </c>
      <c r="D10" s="361">
        <f>IF(ISNUMBER((Datos!I10-Datos!S10)/Datos!S10),(Datos!I10-Datos!S10)/Datos!S10," - ")</f>
        <v>0.95121951219512191</v>
      </c>
      <c r="E10" s="357">
        <f>IF(ISNUMBER((Datos!J10-Datos!T10)/Datos!T10),(Datos!J10-Datos!T10)/Datos!T10," - ")</f>
        <v>-6.6666666666666666E-2</v>
      </c>
      <c r="F10" s="357">
        <f>IF(ISNUMBER((Datos!K10-Datos!U10)/Datos!U10),(Datos!K10-Datos!U10)/Datos!U10," - ")</f>
        <v>-0.32</v>
      </c>
      <c r="G10" s="358">
        <f>IF(ISNUMBER((Datos!L10-Datos!V10)/Datos!V10),(Datos!L10-Datos!V10)/Datos!V10," - ")</f>
        <v>0.97826086956521741</v>
      </c>
      <c r="H10" s="234">
        <f>IF(ISNUMBER((Datos!M10-Datos!W10)/Datos!W10),(Datos!M10-Datos!W10)/Datos!W10," - ")</f>
        <v>-0.1111111111111111</v>
      </c>
      <c r="I10" s="359">
        <f>IF(ISNUMBER((Tasas!C10-Datos!BE10)/Datos!BE10),(Tasas!C10-Datos!BE10)/Datos!BE10," - ")</f>
        <v>1.9092071611253194</v>
      </c>
      <c r="J10" s="358">
        <f>IF(ISNUMBER((Tasas!D10-Datos!BF10)/Datos!BF10),(Tasas!D10-Datos!BF10)/Datos!BF10," - ")</f>
        <v>0.30718954248366015</v>
      </c>
      <c r="K10" s="360">
        <f>IF(ISNUMBER((Tasas!E10-Datos!BG10)/Datos!BG10),(Tasas!E10-Datos!BG10)/Datos!BG10," - ")</f>
        <v>1.2369511184755593</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-2.9045643153526972E-2</v>
      </c>
      <c r="I13" s="366">
        <f>IF(ISNUMBER((Tasas!C13-Datos!BE13)/Datos!BE13),(Tasas!C13-Datos!BE13)/Datos!BE13," - ")</f>
        <v>-5.8708984570867324E-2</v>
      </c>
      <c r="J13" s="364">
        <f>IF(ISNUMBER((Tasas!D13-Datos!BF13)/Datos!BF13),(Tasas!D13-Datos!BF13)/Datos!BF13," - ")</f>
        <v>-0.56546736898491212</v>
      </c>
      <c r="K13" s="367">
        <f>IF(ISNUMBER((Tasas!E13-Datos!BG13)/Datos!BG13),(Tasas!E13-Datos!BG13)/Datos!BG13," - ")</f>
        <v>-3.6628846891383376E-2</v>
      </c>
      <c r="M13" t="e">
        <f>IF(Monitorios="SI",Datos!CE13,0)</f>
        <v>#REF!</v>
      </c>
      <c r="N13" t="e">
        <f>IF(Monitorios="SI",Datos!CF13,0)</f>
        <v>#REF!</v>
      </c>
      <c r="O13" t="e">
        <f>IF(Monitorios="SI",Datos!CG13,0)</f>
        <v>#REF!</v>
      </c>
      <c r="P13" t="e">
        <f>IF(Monitorios="SI",Datos!CH13,0)</f>
        <v>#REF!</v>
      </c>
      <c r="Q13">
        <f>IF(J_V="SI",0,Datos!AG13)</f>
        <v>239</v>
      </c>
      <c r="R13">
        <f>IF(J_V="SI",0,Datos!AH13)</f>
        <v>226</v>
      </c>
      <c r="S13">
        <f>IF(J_V="SI",0,Datos!AI13)</f>
        <v>239</v>
      </c>
      <c r="T13">
        <f>IF(J_V="SI",0,Datos!AJ13)</f>
        <v>226</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0.23083264633140974</v>
      </c>
      <c r="E15" s="357">
        <f>IF(ISNUMBER(
   IF(D_I="SI",(Datos!J15-Datos!T15)/Datos!T15,(Datos!J15+Datos!AD15-(Datos!T15+Datos!AL15))/(Datos!T15+Datos!AL15))
     ),IF(D_I="SI",(Datos!J15-Datos!T15)/Datos!T15,(Datos!J15+Datos!AD15-(Datos!T15+Datos!AL15))/(Datos!T15+Datos!AL15))," - ")</f>
        <v>4.2956120092378751E-2</v>
      </c>
      <c r="F15" s="357">
        <f>IF(ISNUMBER(
   IF(D_I="SI",(Datos!K15-Datos!U15)/Datos!U15,(Datos!K15+Datos!AE15-(Datos!U15+Datos!AM15))/(Datos!U15+Datos!AM15))
     ),IF(D_I="SI",(Datos!K15-Datos!U15)/Datos!U15,(Datos!K15+Datos!AE15-(Datos!U15+Datos!AM15))/(Datos!U15+Datos!AM15))," - ")</f>
        <v>-2.6501766784452298E-2</v>
      </c>
      <c r="G15" s="358">
        <f>IF(ISNUMBER(
   IF(D_I="SI",(Datos!L15-Datos!V15)/Datos!V15,(Datos!L15+Datos!AF15-(Datos!V15+Datos!AN15))/(Datos!V15+Datos!AN15))
     ),IF(D_I="SI",(Datos!L15-Datos!V15)/Datos!V15,(Datos!L15+Datos!AF15-(Datos!V15+Datos!AN15))/(Datos!V15+Datos!AN15))," - ")</f>
        <v>0.41202090592334495</v>
      </c>
      <c r="H15" s="234">
        <f>IF(ISNUMBER((Datos!M15-Datos!W15)/Datos!W15),(Datos!M15-Datos!W15)/Datos!W15," - ")</f>
        <v>-0.14285714285714285</v>
      </c>
      <c r="I15" s="359">
        <f>IF(ISNUMBER((Tasas!C15-Datos!BE15)/Datos!BE15),(Tasas!C15-Datos!BE15)/Datos!BE15," - ")</f>
        <v>0.45046067650202032</v>
      </c>
      <c r="J15" s="358">
        <f>IF(ISNUMBER((Tasas!D15-Datos!BF15)/Datos!BF15),(Tasas!D15-Datos!BF15)/Datos!BF15," - ")</f>
        <v>-0.1195229452942701</v>
      </c>
      <c r="K15" s="360">
        <f>IF(ISNUMBER((Tasas!E15-Datos!BG15)/Datos!BG15),(Tasas!E15-Datos!BG15)/Datos!BG15," - ")</f>
        <v>0.14064959667497284</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4.1666666666666664E-2</v>
      </c>
      <c r="E17" s="357">
        <f>IF(ISNUMBER(
   IF(D_I="SI",(Datos!J17-Datos!T17)/Datos!T17,(Datos!J17+Datos!AD17-(Datos!T17+Datos!AL17))/(Datos!T17+Datos!AL17))
     ),IF(D_I="SI",(Datos!J17-Datos!T17)/Datos!T17,(Datos!J17+Datos!AD17-(Datos!T17+Datos!AL17))/(Datos!T17+Datos!AL17))," - ")</f>
        <v>-4.1841004184100415E-3</v>
      </c>
      <c r="F17" s="357">
        <f>IF(ISNUMBER(
   IF(D_I="SI",(Datos!K17-Datos!U17)/Datos!U17,(Datos!K17+Datos!AE17-(Datos!U17+Datos!AM17))/(Datos!U17+Datos!AM17))
     ),IF(D_I="SI",(Datos!K17-Datos!U17)/Datos!U17,(Datos!K17+Datos!AE17-(Datos!U17+Datos!AM17))/(Datos!U17+Datos!AM17))," - ")</f>
        <v>4.2194092827004216E-3</v>
      </c>
      <c r="G17" s="358">
        <f>IF(ISNUMBER(
   IF(D_I="SI",(Datos!L17-Datos!V17)/Datos!V17,(Datos!L17+Datos!AF17-(Datos!V17+Datos!AN17))/(Datos!V17+Datos!AN17))
     ),IF(D_I="SI",(Datos!L17-Datos!V17)/Datos!V17,(Datos!L17+Datos!AF17-(Datos!V17+Datos!AN17))/(Datos!V17+Datos!AN17))," - ")</f>
        <v>2.0408163265306121E-2</v>
      </c>
      <c r="H17" s="234">
        <f>IF(ISNUMBER((Datos!M17-Datos!W17)/Datos!W17),(Datos!M17-Datos!W17)/Datos!W17," - ")</f>
        <v>-2.9411764705882353E-2</v>
      </c>
      <c r="I17" s="359">
        <f>IF(ISNUMBER((Tasas!C17-Datos!BE17)/Datos!BE17),(Tasas!C17-Datos!BE17)/Datos!BE17," - ")</f>
        <v>1.6120734007888882E-2</v>
      </c>
      <c r="J17" s="358">
        <f>IF(ISNUMBER((Tasas!D17-Datos!BF17)/Datos!BF17),(Tasas!D17-Datos!BF17)/Datos!BF17," - ")</f>
        <v>-3.3489866534849165E-2</v>
      </c>
      <c r="K17" s="360">
        <f>IF(ISNUMBER((Tasas!E17-Datos!BG17)/Datos!BG17),(Tasas!E17-Datos!BG17)/Datos!BG17," - ")</f>
        <v>4.7159162172331652E-3</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0.21695951107715813</v>
      </c>
      <c r="E18" s="363">
        <f>IF(ISNUMBER(
   IF(D_I="SI",(Datos!J18-Datos!T18)/Datos!T18,(Datos!J18+Datos!AD18-(Datos!T18+Datos!AL18))/(Datos!T18+Datos!AL18))
     ),IF(D_I="SI",(Datos!J18-Datos!T18)/Datos!T18,(Datos!J18+Datos!AD18-(Datos!T18+Datos!AL18))/(Datos!T18+Datos!AL18))," - ")</f>
        <v>3.8269550748752081E-2</v>
      </c>
      <c r="F18" s="363">
        <f>IF(ISNUMBER(
   IF(D_I="SI",(Datos!K18-Datos!U18)/Datos!U18,(Datos!K18+Datos!AE18-(Datos!U18+Datos!AM18))/(Datos!U18+Datos!AM18))
     ),IF(D_I="SI",(Datos!K18-Datos!U18)/Datos!U18,(Datos!K18+Datos!AE18-(Datos!U18+Datos!AM18))/(Datos!U18+Datos!AM18))," - ")</f>
        <v>-2.3590563774490203E-2</v>
      </c>
      <c r="G18" s="364">
        <f>IF(ISNUMBER(
   IF(D_I="SI",(Datos!L18-Datos!V18)/Datos!V18,(Datos!L18+Datos!AF18-(Datos!V18+Datos!AN18))/(Datos!V18+Datos!AN18))
     ),IF(D_I="SI",(Datos!L18-Datos!V18)/Datos!V18,(Datos!L18+Datos!AF18-(Datos!V18+Datos!AN18))/(Datos!V18+Datos!AN18))," - ")</f>
        <v>0.3812199036918138</v>
      </c>
      <c r="H18" s="365">
        <f>IF(ISNUMBER((Datos!M18-Datos!W18)/Datos!W18),(Datos!M18-Datos!W18)/Datos!W18," - ")</f>
        <v>-0.12770137524557956</v>
      </c>
      <c r="I18" s="366">
        <f>IF(ISNUMBER((Tasas!C18-Datos!BE18)/Datos!BE18),(Tasas!C18-Datos!BE18)/Datos!BE18," - ")</f>
        <v>0.41459090054595676</v>
      </c>
      <c r="J18" s="364">
        <f>IF(ISNUMBER((Tasas!D18-Datos!BF18)/Datos!BF18),(Tasas!D18-Datos!BF18)/Datos!BF18," - ")</f>
        <v>-0.10662618324700834</v>
      </c>
      <c r="K18" s="367">
        <f>IF(ISNUMBER((Tasas!E18-Datos!BG18)/Datos!BG18),(Tasas!E18-Datos!BG18)/Datos!BG18," - ")</f>
        <v>0.12787298230336216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0.1385564018861081</v>
      </c>
      <c r="E19" s="372">
        <f>IF(ISNUMBER(
   IF(J_V="SI",(Datos!J19-Datos!T19)/Datos!T19,(Datos!J19+Datos!Z19-(Datos!T19+Datos!AH19))/(Datos!T19+Datos!AH19))
     ),IF(J_V="SI",(Datos!J19-Datos!T19)/Datos!T19,(Datos!J19+Datos!Z19-(Datos!T19+Datos!AH19))/(Datos!T19+Datos!AH19))," - ")</f>
        <v>9.5664563403215955E-2</v>
      </c>
      <c r="F19" s="372">
        <f>IF(ISNUMBER(
   IF(J_V="SI",(Datos!K19-Datos!U19)/Datos!U19,(Datos!K19+Datos!AA19-(Datos!U19+Datos!AI19))/(Datos!U19+Datos!AI19))
     ),IF(J_V="SI",(Datos!K19-Datos!U19)/Datos!U19,(Datos!K19+Datos!AA19-(Datos!U19+Datos!AI19))/(Datos!U19+Datos!AI19))," - ")</f>
        <v>7.3444066439863911E-2</v>
      </c>
      <c r="G19" s="373">
        <f>IF(ISNUMBER(
   IF(J_V="SI",(Datos!L19-Datos!V19)/Datos!V19,(Datos!L19+Datos!AB19-(Datos!V19+Datos!AJ19))/(Datos!V19+Datos!AJ19))
     ),IF(J_V="SI",(Datos!L19-Datos!V19)/Datos!V19,(Datos!L19+Datos!AB19-(Datos!V19+Datos!AJ19))/(Datos!V19+Datos!AJ19))," - ")</f>
        <v>0.16562957540263543</v>
      </c>
      <c r="H19" s="374">
        <f>IF(ISNUMBER((Datos!M19-Datos!W19)/Datos!W19),(Datos!M19-Datos!W19)/Datos!W19," - ")</f>
        <v>-7.9717457114026238E-2</v>
      </c>
      <c r="I19" s="371">
        <f>IF(ISNUMBER((Tasas!C19-Datos!BE19)/Datos!BE19),(Tasas!C19-Datos!BE19)/Datos!BE19," - ")</f>
        <v>8.5878260307041196E-2</v>
      </c>
      <c r="J19" s="372">
        <f>IF(ISNUMBER((Tasas!D19-Datos!BF19)/Datos!BF19),(Tasas!D19-Datos!BF19)/Datos!BF19," - ")</f>
        <v>-0.40545711007055824</v>
      </c>
      <c r="K19" s="373">
        <f>IF(ISNUMBER((Tasas!E19-Datos!BG19)/Datos!BG19),(Tasas!E19-Datos!BG19)/Datos!BG19," - ")</f>
        <v>4.1830343225694719E-2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0.40332835853737398</v>
      </c>
      <c r="E21" s="282">
        <f t="shared" si="1"/>
        <v>5.0809540612208888E-2</v>
      </c>
      <c r="F21" s="282">
        <f t="shared" si="1"/>
        <v>0.15298247516822303</v>
      </c>
      <c r="G21" s="283">
        <f t="shared" si="1"/>
        <v>0.39571262429344717</v>
      </c>
      <c r="H21" s="289">
        <f t="shared" si="1"/>
        <v>5.4922114958851465E-2</v>
      </c>
      <c r="I21" s="281">
        <f t="shared" si="1"/>
        <v>0.75479626022841295</v>
      </c>
      <c r="J21" s="282">
        <f t="shared" si="1"/>
        <v>0.33735935024079139</v>
      </c>
      <c r="K21" s="283">
        <f t="shared" si="1"/>
        <v>0.49578284222342844</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Xv8NLWy2Ki/E0glNP4jIEBmhcSUAwyQXbPsXFaG/gUNBia8z0KErkaKRyTc36izCAbt5G9EGm0ecMJMJMXfLlA==" saltValue="TOrdt1J84Zcy2yPyxQ8GS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2023-10-06T16:23:07Z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